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6. JUNIO 2025/NUMERAL 4/"/>
    </mc:Choice>
  </mc:AlternateContent>
  <xr:revisionPtr revIDLastSave="41" documentId="14_{250EA749-2F73-40C7-A3AF-8B8E0EA50F93}" xr6:coauthVersionLast="47" xr6:coauthVersionMax="47" xr10:uidLastSave="{E26468DF-C9E3-43E7-8B0C-950788B4EB07}"/>
  <bookViews>
    <workbookView xWindow="-120" yWindow="-120" windowWidth="29040" windowHeight="15720" tabRatio="906" activeTab="5" xr2:uid="{00000000-000D-0000-FFFF-FFFF00000000}"/>
  </bookViews>
  <sheets>
    <sheet name="ENERO 2025" sheetId="40" r:id="rId1"/>
    <sheet name="FEBRERO 2025" sheetId="41" r:id="rId2"/>
    <sheet name="MARZO 2025" sheetId="42" r:id="rId3"/>
    <sheet name="ABRIL 2025" sheetId="43" r:id="rId4"/>
    <sheet name="MAYO 2025" sheetId="44" r:id="rId5"/>
    <sheet name="JUNIO 2025" sheetId="45" r:id="rId6"/>
  </sheets>
  <definedNames>
    <definedName name="_xlnm.Print_Area" localSheetId="3">'ABRIL 2025'!$A$1:$P$39</definedName>
    <definedName name="_xlnm.Print_Area" localSheetId="0">'ENERO 2025'!$A$1:$P$38</definedName>
    <definedName name="_xlnm.Print_Area" localSheetId="1">'FEBRERO 2025'!$A$1:$P$38</definedName>
    <definedName name="_xlnm.Print_Area" localSheetId="5">'JUNIO 2025'!$A$1:$P$39</definedName>
    <definedName name="_xlnm.Print_Area" localSheetId="2">'MARZO 2025'!$A$1:$P$38</definedName>
    <definedName name="_xlnm.Print_Area" localSheetId="4">'MAYO 2025'!$A$1:$P$39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45" l="1"/>
  <c r="M30" i="45"/>
  <c r="M29" i="45"/>
  <c r="M28" i="45"/>
  <c r="M27" i="45"/>
  <c r="M26" i="45"/>
  <c r="M25" i="45"/>
  <c r="M24" i="45"/>
  <c r="M23" i="45"/>
  <c r="M22" i="45"/>
  <c r="M21" i="45"/>
  <c r="M20" i="45"/>
  <c r="L31" i="45" l="1"/>
  <c r="N31" i="45" s="1"/>
  <c r="L30" i="45"/>
  <c r="N30" i="45" s="1"/>
  <c r="L29" i="45"/>
  <c r="N29" i="45" s="1"/>
  <c r="F29" i="45"/>
  <c r="L28" i="45"/>
  <c r="N28" i="45" s="1"/>
  <c r="L27" i="45"/>
  <c r="N27" i="45" s="1"/>
  <c r="I27" i="45"/>
  <c r="F27" i="45"/>
  <c r="L26" i="45"/>
  <c r="N26" i="45" s="1"/>
  <c r="L25" i="45"/>
  <c r="N25" i="45" s="1"/>
  <c r="L24" i="45"/>
  <c r="N24" i="45" s="1"/>
  <c r="I24" i="45"/>
  <c r="F24" i="45"/>
  <c r="L23" i="45"/>
  <c r="N23" i="45" s="1"/>
  <c r="L22" i="45"/>
  <c r="N22" i="45" s="1"/>
  <c r="L21" i="45"/>
  <c r="N21" i="45" s="1"/>
  <c r="F21" i="45"/>
  <c r="L20" i="45"/>
  <c r="N20" i="45" s="1"/>
  <c r="A16" i="45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M31" i="44"/>
  <c r="M30" i="44"/>
  <c r="M29" i="44"/>
  <c r="M28" i="44"/>
  <c r="M27" i="44"/>
  <c r="M26" i="44"/>
  <c r="M25" i="44"/>
  <c r="M24" i="44"/>
  <c r="M23" i="44"/>
  <c r="M22" i="44"/>
  <c r="M21" i="44"/>
  <c r="M20" i="44"/>
  <c r="L31" i="44" l="1"/>
  <c r="N31" i="44" s="1"/>
  <c r="L30" i="44"/>
  <c r="N30" i="44" s="1"/>
  <c r="F29" i="44"/>
  <c r="L29" i="44" s="1"/>
  <c r="N29" i="44" s="1"/>
  <c r="I28" i="44"/>
  <c r="L28" i="44" s="1"/>
  <c r="N28" i="44" s="1"/>
  <c r="F28" i="44"/>
  <c r="I27" i="44"/>
  <c r="F27" i="44"/>
  <c r="L27" i="44" s="1"/>
  <c r="N27" i="44" s="1"/>
  <c r="L26" i="44"/>
  <c r="N26" i="44" s="1"/>
  <c r="L25" i="44"/>
  <c r="N25" i="44" s="1"/>
  <c r="I24" i="44"/>
  <c r="F24" i="44"/>
  <c r="L24" i="44" s="1"/>
  <c r="N24" i="44" s="1"/>
  <c r="N23" i="44"/>
  <c r="L23" i="44"/>
  <c r="L22" i="44"/>
  <c r="N22" i="44" s="1"/>
  <c r="F21" i="44"/>
  <c r="L21" i="44" s="1"/>
  <c r="N21" i="44" s="1"/>
  <c r="N20" i="44"/>
  <c r="L20" i="44"/>
  <c r="A16" i="44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23" i="40"/>
  <c r="A24" i="40" s="1"/>
  <c r="A25" i="40" s="1"/>
  <c r="A26" i="40" s="1"/>
  <c r="A27" i="40" s="1"/>
  <c r="A28" i="40" s="1"/>
  <c r="A29" i="40" s="1"/>
  <c r="A30" i="40" s="1"/>
  <c r="A31" i="40" s="1"/>
  <c r="A32" i="40" s="1"/>
  <c r="A22" i="40"/>
  <c r="A23" i="41"/>
  <c r="A24" i="41"/>
  <c r="A25" i="41"/>
  <c r="A26" i="41"/>
  <c r="A27" i="41" s="1"/>
  <c r="A28" i="41" s="1"/>
  <c r="A29" i="41" s="1"/>
  <c r="A30" i="41" s="1"/>
  <c r="A31" i="41" s="1"/>
  <c r="A32" i="41" s="1"/>
  <c r="A22" i="41"/>
  <c r="A23" i="42"/>
  <c r="A24" i="42"/>
  <c r="A25" i="42"/>
  <c r="A26" i="42"/>
  <c r="A27" i="42"/>
  <c r="A28" i="42"/>
  <c r="A29" i="42"/>
  <c r="A30" i="42"/>
  <c r="A31" i="42"/>
  <c r="A32" i="42"/>
  <c r="A22" i="42"/>
  <c r="M31" i="43"/>
  <c r="M30" i="43"/>
  <c r="M29" i="43"/>
  <c r="M28" i="43"/>
  <c r="M27" i="43"/>
  <c r="M25" i="43"/>
  <c r="M24" i="43"/>
  <c r="M23" i="43"/>
  <c r="M22" i="43"/>
  <c r="N22" i="43" s="1"/>
  <c r="L22" i="43"/>
  <c r="M21" i="43"/>
  <c r="M20" i="43"/>
  <c r="A22" i="43" l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L31" i="43"/>
  <c r="N31" i="43" s="1"/>
  <c r="L30" i="43"/>
  <c r="N30" i="43" s="1"/>
  <c r="F29" i="43"/>
  <c r="L29" i="43" s="1"/>
  <c r="N29" i="43" s="1"/>
  <c r="I28" i="43"/>
  <c r="L28" i="43" s="1"/>
  <c r="N28" i="43" s="1"/>
  <c r="F28" i="43"/>
  <c r="I27" i="43"/>
  <c r="F27" i="43"/>
  <c r="L27" i="43" s="1"/>
  <c r="N27" i="43" s="1"/>
  <c r="M26" i="43"/>
  <c r="L26" i="43"/>
  <c r="N26" i="43" s="1"/>
  <c r="L25" i="43"/>
  <c r="N25" i="43" s="1"/>
  <c r="L24" i="43"/>
  <c r="N24" i="43" s="1"/>
  <c r="I24" i="43"/>
  <c r="F24" i="43"/>
  <c r="L23" i="43"/>
  <c r="N23" i="43" s="1"/>
  <c r="F21" i="43"/>
  <c r="L21" i="43" s="1"/>
  <c r="N21" i="43" s="1"/>
  <c r="L20" i="43"/>
  <c r="N20" i="43" s="1"/>
  <c r="A16" i="43"/>
  <c r="A17" i="43" s="1"/>
  <c r="A18" i="43" s="1"/>
  <c r="A19" i="43" s="1"/>
  <c r="A20" i="43" s="1"/>
  <c r="A21" i="43" s="1"/>
  <c r="M30" i="42"/>
  <c r="L30" i="42"/>
  <c r="N30" i="42" s="1"/>
  <c r="M29" i="42"/>
  <c r="L29" i="42"/>
  <c r="N29" i="42" s="1"/>
  <c r="M28" i="42"/>
  <c r="F28" i="42"/>
  <c r="L28" i="42" s="1"/>
  <c r="N28" i="42" s="1"/>
  <c r="M27" i="42"/>
  <c r="I27" i="42"/>
  <c r="F27" i="42"/>
  <c r="L27" i="42" s="1"/>
  <c r="N27" i="42" s="1"/>
  <c r="M26" i="42"/>
  <c r="I26" i="42"/>
  <c r="F26" i="42"/>
  <c r="L26" i="42" s="1"/>
  <c r="N26" i="42" s="1"/>
  <c r="M25" i="42"/>
  <c r="L25" i="42"/>
  <c r="N25" i="42" s="1"/>
  <c r="M24" i="42"/>
  <c r="L24" i="42"/>
  <c r="N24" i="42" s="1"/>
  <c r="M23" i="42"/>
  <c r="L23" i="42"/>
  <c r="N23" i="42" s="1"/>
  <c r="I23" i="42"/>
  <c r="F23" i="42"/>
  <c r="M22" i="42"/>
  <c r="L22" i="42"/>
  <c r="N22" i="42" s="1"/>
  <c r="M21" i="42"/>
  <c r="F21" i="42"/>
  <c r="L21" i="42" s="1"/>
  <c r="N21" i="42" s="1"/>
  <c r="M20" i="42"/>
  <c r="L20" i="42"/>
  <c r="N20" i="42" s="1"/>
  <c r="A16" i="42"/>
  <c r="A17" i="42" s="1"/>
  <c r="A18" i="42" s="1"/>
  <c r="A19" i="42" s="1"/>
  <c r="A20" i="42" s="1"/>
  <c r="A21" i="42" s="1"/>
  <c r="M24" i="41"/>
  <c r="M30" i="41"/>
  <c r="M29" i="41"/>
  <c r="M27" i="41"/>
  <c r="M26" i="41"/>
  <c r="M25" i="41"/>
  <c r="M21" i="41"/>
  <c r="M20" i="41"/>
  <c r="L30" i="41" l="1"/>
  <c r="N30" i="41" s="1"/>
  <c r="L29" i="41"/>
  <c r="N29" i="41" s="1"/>
  <c r="M28" i="41"/>
  <c r="H28" i="41"/>
  <c r="F28" i="41"/>
  <c r="L28" i="41" s="1"/>
  <c r="N28" i="41" s="1"/>
  <c r="I27" i="41"/>
  <c r="F27" i="41"/>
  <c r="L27" i="41" s="1"/>
  <c r="N27" i="41" s="1"/>
  <c r="L26" i="41"/>
  <c r="N26" i="41" s="1"/>
  <c r="I26" i="41"/>
  <c r="F26" i="41"/>
  <c r="L25" i="41"/>
  <c r="N25" i="41" s="1"/>
  <c r="L24" i="41"/>
  <c r="N24" i="41" s="1"/>
  <c r="M23" i="41"/>
  <c r="I23" i="41"/>
  <c r="F23" i="41"/>
  <c r="L23" i="41" s="1"/>
  <c r="N23" i="41" s="1"/>
  <c r="M22" i="41"/>
  <c r="L22" i="41"/>
  <c r="N22" i="41" s="1"/>
  <c r="F21" i="41"/>
  <c r="L21" i="41" s="1"/>
  <c r="N21" i="41" s="1"/>
  <c r="L20" i="41"/>
  <c r="N20" i="41" s="1"/>
  <c r="A16" i="41"/>
  <c r="A17" i="41" s="1"/>
  <c r="A18" i="41" s="1"/>
  <c r="A19" i="41" s="1"/>
  <c r="A20" i="41" s="1"/>
  <c r="A21" i="41" s="1"/>
  <c r="M27" i="40" l="1"/>
  <c r="M22" i="40"/>
  <c r="M30" i="40"/>
  <c r="M29" i="40"/>
  <c r="H28" i="40"/>
  <c r="M28" i="40"/>
  <c r="M26" i="40"/>
  <c r="M25" i="40"/>
  <c r="M24" i="40"/>
  <c r="M23" i="40"/>
  <c r="M21" i="40"/>
  <c r="M20" i="40"/>
  <c r="I27" i="40" l="1"/>
  <c r="I26" i="40"/>
  <c r="I23" i="40"/>
  <c r="L30" i="40" l="1"/>
  <c r="N30" i="40" s="1"/>
  <c r="L29" i="40"/>
  <c r="N29" i="40" s="1"/>
  <c r="F28" i="40"/>
  <c r="L28" i="40" s="1"/>
  <c r="N28" i="40" s="1"/>
  <c r="F27" i="40"/>
  <c r="L27" i="40" s="1"/>
  <c r="N27" i="40" s="1"/>
  <c r="F26" i="40"/>
  <c r="L26" i="40" s="1"/>
  <c r="N26" i="40" s="1"/>
  <c r="L25" i="40"/>
  <c r="N25" i="40" s="1"/>
  <c r="L24" i="40"/>
  <c r="N24" i="40" s="1"/>
  <c r="F23" i="40"/>
  <c r="L23" i="40" s="1"/>
  <c r="N23" i="40" s="1"/>
  <c r="L22" i="40"/>
  <c r="N22" i="40" s="1"/>
  <c r="F21" i="40"/>
  <c r="L21" i="40" s="1"/>
  <c r="N21" i="40" s="1"/>
  <c r="L20" i="40"/>
  <c r="N20" i="40" s="1"/>
  <c r="A16" i="40"/>
  <c r="A17" i="40" s="1"/>
  <c r="A18" i="40" s="1"/>
  <c r="A19" i="40" s="1"/>
  <c r="A20" i="40" s="1"/>
  <c r="A21" i="40" s="1"/>
</calcChain>
</file>

<file path=xl/sharedStrings.xml><?xml version="1.0" encoding="utf-8"?>
<sst xmlns="http://schemas.openxmlformats.org/spreadsheetml/2006/main" count="612" uniqueCount="87">
  <si>
    <t>Gerente</t>
  </si>
  <si>
    <t>Secretaria</t>
  </si>
  <si>
    <t>Auxiliar Financiera</t>
  </si>
  <si>
    <t>Auxiliar Administrativo</t>
  </si>
  <si>
    <t xml:space="preserve">Entrenador </t>
  </si>
  <si>
    <t>Auxiliar de Polígonos</t>
  </si>
  <si>
    <t>Alexander Ottoniel Gutiérrez Galindo</t>
  </si>
  <si>
    <t>011</t>
  </si>
  <si>
    <t>Funcionarios, Servidores Públicos, Empleados y Asesores</t>
  </si>
  <si>
    <t>Evelyn Briseyda                                     Patzán Alay</t>
  </si>
  <si>
    <t>Erasmo Catarino                                     López Maldonado</t>
  </si>
  <si>
    <t>Raúl                                     Pineda Mijangos</t>
  </si>
  <si>
    <t>Toribio De Jesús                                     Del Cid Estrada</t>
  </si>
  <si>
    <t>Asesor en materia Administrativa y Financiera</t>
  </si>
  <si>
    <t>(Artículo 10, numeral 4 Ley de Acceso a la Información Pública)</t>
  </si>
  <si>
    <t>No se erogan gastos por Dietas</t>
  </si>
  <si>
    <t>Ad Honórem</t>
  </si>
  <si>
    <t>Vocal I Comité Ejecutivo</t>
  </si>
  <si>
    <t>Vocal II Comité Ejecutivo</t>
  </si>
  <si>
    <t xml:space="preserve">No. </t>
  </si>
  <si>
    <t>RENGLÓN</t>
  </si>
  <si>
    <t>Empleado/
Servidor Público</t>
  </si>
  <si>
    <t>CARGO/ SERVICIOS PRESTADOS</t>
  </si>
  <si>
    <t>DEPENDENCIA</t>
  </si>
  <si>
    <t>BONIFICACIÓN PROFESIONAL</t>
  </si>
  <si>
    <t>HONORARIOS</t>
  </si>
  <si>
    <t xml:space="preserve">TOTAL 
INGRESO
</t>
  </si>
  <si>
    <t>TOTAL
DESCUENTOS</t>
  </si>
  <si>
    <t>LÍQUIDO</t>
  </si>
  <si>
    <t>OTRAS REMUNERACIONES
ECONÓMICAS</t>
  </si>
  <si>
    <t>MONTO 
VIÁTICOS</t>
  </si>
  <si>
    <t>NOMBRES 
Y APELLIDOS</t>
  </si>
  <si>
    <t>ASOTAC</t>
  </si>
  <si>
    <t>SUELDO
BASE</t>
  </si>
  <si>
    <t>HORAS
EXTRAS</t>
  </si>
  <si>
    <t>BONO PRODUCTIVIDAD</t>
  </si>
  <si>
    <t>BONO
MENSUAL</t>
  </si>
  <si>
    <t>GASTOS DE BOLSILLO</t>
  </si>
  <si>
    <t>Coordinador Técnico</t>
  </si>
  <si>
    <t>Coordinador Administrativo Financiero</t>
  </si>
  <si>
    <t>Juan Fernando Vega Silva</t>
  </si>
  <si>
    <t>Jenifer Eunice Queche Velasquez</t>
  </si>
  <si>
    <t>Ulysses Rober Dent Davila</t>
  </si>
  <si>
    <t>Edwin Ernesto Paredes Soria</t>
  </si>
  <si>
    <t>Evelicio Hernandez Gonzalez</t>
  </si>
  <si>
    <t>Encargado de Poligonos</t>
  </si>
  <si>
    <t>Carlos Arturo Padilla Coronado</t>
  </si>
  <si>
    <t>Entrenador Nacional de Skeet</t>
  </si>
  <si>
    <t>Mensajero</t>
  </si>
  <si>
    <t>Cristian Diego Bermudez Ape</t>
  </si>
  <si>
    <t>Presidente Interino Comité Ejecutivo</t>
  </si>
  <si>
    <t>Juan Ramon Schaeffer Samayoa</t>
  </si>
  <si>
    <t>Tesorero Interino Comité Ejecutivo</t>
  </si>
  <si>
    <t>Juan Carlos Romero Arribas</t>
  </si>
  <si>
    <t>Secretario Interino Comité Ejecutivo</t>
  </si>
  <si>
    <t>Maria de los Angeles Salazar Grijalva</t>
  </si>
  <si>
    <t xml:space="preserve"> David  Alejandro                                    Contreras Giron</t>
  </si>
  <si>
    <t>Asesoria Juridica y Legal</t>
  </si>
  <si>
    <t>Alex Daniel Soto López</t>
  </si>
  <si>
    <t>Vigente Período 2025</t>
  </si>
  <si>
    <t>Información correspondientes Enero 2025</t>
  </si>
  <si>
    <t>ENTIDAD: ASOCIACION DEPORTIVA NACIONAL DE TIRO CON ARMAS DE CAZA</t>
  </si>
  <si>
    <t>DIRECCIÓN:  3RA. AVENIDA 8-35, ZONA 2, INTERIOR FINCA EL ZAPOTE, GUATEMALA</t>
  </si>
  <si>
    <t>HORARIO DE ATENCIÓN:8:30 AM. A 4:00 PM</t>
  </si>
  <si>
    <t>TELÉFONO: 2254-3734</t>
  </si>
  <si>
    <t>DIRECTOR: CRISTIAN DIEGO BERMÚDEZ APEL</t>
  </si>
  <si>
    <t>ENCARGADO DE ACTUALIZACIÓN: ALEX DANIEL SOTO LÓPEZ</t>
  </si>
  <si>
    <t>FECHA DE ACTUALIZACIÓN: 5 DE MARZO 2025</t>
  </si>
  <si>
    <t>CORRESPONDE AL MES DE: ENERO 2025</t>
  </si>
  <si>
    <t>Erick Herrera Spiegler</t>
  </si>
  <si>
    <t>CORRESPONDE AL MES DE: FEBRERO 2025</t>
  </si>
  <si>
    <t>Información correspondientes Febrero 2025</t>
  </si>
  <si>
    <t>FECHA DE ACTUALIZACIÓN: 7 DE ABRIL 2025</t>
  </si>
  <si>
    <t>CORRESPONDE AL MES DE: MARZO 2025</t>
  </si>
  <si>
    <t>Información correspondientes Marzo 2025</t>
  </si>
  <si>
    <t>María Mercedes Celada Figueroa</t>
  </si>
  <si>
    <t>Asistente Técnico</t>
  </si>
  <si>
    <t>CORRESPONDE AL MES DE: ABRIL 2025</t>
  </si>
  <si>
    <t>FECHA DE ACTUALIZACIÓN: 31 DE MAYO 2025</t>
  </si>
  <si>
    <t>Información correspondientes Abril 2025</t>
  </si>
  <si>
    <t>FECHA DE ACTUALIZACIÓN: 5 DE FEBRERO 2025</t>
  </si>
  <si>
    <t>FECHA DE ACTUALIZACIÓN: 30 DE JUNIO 2025</t>
  </si>
  <si>
    <t>CORRESPONDE AL MES DE: MAYO 2025</t>
  </si>
  <si>
    <t>Información correspondientes Mayo 2025</t>
  </si>
  <si>
    <t>FECHA DE ACTUALIZACIÓN: 31 DE JULIO 2025</t>
  </si>
  <si>
    <t>CORRESPONDE AL MES DE: JUNIO 2025</t>
  </si>
  <si>
    <t>Información correspondientes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</si>
</sst>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44" formatCode="_-&quot;Q&quot;* #,##0.00_-;\-&quot;Q&quot;* #,##0.00_-;_-&quot;Q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Continuous"/>
    </xf>
    <xf numFmtId="41" fontId="5" fillId="0" borderId="0" xfId="1" applyNumberFormat="1" applyFont="1" applyAlignment="1">
      <alignment horizontal="centerContinuous"/>
    </xf>
    <xf numFmtId="41" fontId="0" fillId="0" borderId="0" xfId="1" applyNumberFormat="1" applyFont="1" applyAlignment="1">
      <alignment horizontal="centerContinuous"/>
    </xf>
    <xf numFmtId="44" fontId="1" fillId="3" borderId="0" xfId="1" quotePrefix="1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/>
    </xf>
    <xf numFmtId="43" fontId="0" fillId="0" borderId="1" xfId="1" applyFont="1" applyFill="1" applyBorder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Continuous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4" fontId="1" fillId="0" borderId="0" xfId="1" quotePrefix="1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10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E34AC489-E217-4A7F-8F2C-52C6DF82D1C8}"/>
  </tableStyles>
  <colors>
    <mruColors>
      <color rgb="FFECECEC"/>
      <color rgb="FFE3E2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0</xdr:row>
      <xdr:rowOff>44824</xdr:rowOff>
    </xdr:from>
    <xdr:to>
      <xdr:col>15</xdr:col>
      <xdr:colOff>22412</xdr:colOff>
      <xdr:row>6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E11963-1A40-4F8E-98BA-2B5555473B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238" y="44824"/>
          <a:ext cx="5020233" cy="1288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0</xdr:row>
      <xdr:rowOff>44824</xdr:rowOff>
    </xdr:from>
    <xdr:to>
      <xdr:col>15</xdr:col>
      <xdr:colOff>22412</xdr:colOff>
      <xdr:row>6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72A896-8EBE-4BED-9DD5-EFFF12040A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8" y="44824"/>
          <a:ext cx="5003984" cy="12785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0</xdr:row>
      <xdr:rowOff>44824</xdr:rowOff>
    </xdr:from>
    <xdr:to>
      <xdr:col>15</xdr:col>
      <xdr:colOff>22412</xdr:colOff>
      <xdr:row>6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3A46F-1FCA-4D37-B88D-03B600A4E8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8" y="44824"/>
          <a:ext cx="5003984" cy="12785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0</xdr:row>
      <xdr:rowOff>44824</xdr:rowOff>
    </xdr:from>
    <xdr:to>
      <xdr:col>15</xdr:col>
      <xdr:colOff>22413</xdr:colOff>
      <xdr:row>6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75F07D-14F3-41E3-8C1C-7A07A6FA19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8" y="44824"/>
          <a:ext cx="5003984" cy="12785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0</xdr:row>
      <xdr:rowOff>44824</xdr:rowOff>
    </xdr:from>
    <xdr:to>
      <xdr:col>15</xdr:col>
      <xdr:colOff>22413</xdr:colOff>
      <xdr:row>6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819DB2-2F99-40A0-801C-0A19BAD558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8" y="44824"/>
          <a:ext cx="5003985" cy="12785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0</xdr:row>
      <xdr:rowOff>44824</xdr:rowOff>
    </xdr:from>
    <xdr:to>
      <xdr:col>15</xdr:col>
      <xdr:colOff>22413</xdr:colOff>
      <xdr:row>6</xdr:row>
      <xdr:rowOff>123265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609E3D-08F9-4D66-A3C5-15FBAC8DF69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8" y="44824"/>
          <a:ext cx="5003985" cy="1278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76484-44E9-4524-959A-5ED486089972}">
  <dimension ref="A1:P38"/>
  <sheetViews>
    <sheetView showGridLines="0" zoomScale="85" zoomScaleNormal="85" workbookViewId="0">
      <selection activeCell="A8" sqref="A8:H8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5.75" x14ac:dyDescent="0.25">
      <c r="A1" s="29" t="s">
        <v>61</v>
      </c>
      <c r="B1" s="29"/>
      <c r="C1" s="29"/>
      <c r="D1" s="29"/>
      <c r="E1" s="29"/>
      <c r="F1" s="29"/>
      <c r="G1" s="29"/>
      <c r="H1" s="29"/>
    </row>
    <row r="2" spans="1:16" ht="15.75" x14ac:dyDescent="0.25">
      <c r="A2" s="29" t="s">
        <v>62</v>
      </c>
      <c r="B2" s="29"/>
      <c r="C2" s="29"/>
      <c r="D2" s="29"/>
      <c r="E2" s="29"/>
      <c r="F2" s="29"/>
      <c r="G2" s="29"/>
      <c r="H2" s="29"/>
    </row>
    <row r="3" spans="1:16" ht="15.75" customHeight="1" x14ac:dyDescent="0.25">
      <c r="A3" s="30" t="s">
        <v>63</v>
      </c>
      <c r="B3" s="30"/>
      <c r="C3" s="30"/>
      <c r="D3" s="30"/>
      <c r="E3" s="30"/>
      <c r="F3" s="30"/>
      <c r="G3" s="30"/>
      <c r="H3" s="30"/>
    </row>
    <row r="4" spans="1:16" ht="15.75" x14ac:dyDescent="0.25">
      <c r="A4" s="29" t="s">
        <v>64</v>
      </c>
      <c r="B4" s="29"/>
      <c r="C4" s="29"/>
      <c r="D4" s="29"/>
      <c r="E4" s="29"/>
      <c r="F4" s="29"/>
      <c r="G4" s="29"/>
      <c r="H4" s="29"/>
    </row>
    <row r="5" spans="1:16" ht="15.75" x14ac:dyDescent="0.25">
      <c r="A5" s="29" t="s">
        <v>65</v>
      </c>
      <c r="B5" s="29"/>
      <c r="C5" s="29"/>
      <c r="D5" s="29"/>
      <c r="E5" s="29"/>
      <c r="F5" s="29"/>
      <c r="G5" s="29"/>
      <c r="H5" s="29"/>
    </row>
    <row r="6" spans="1:16" ht="15.75" x14ac:dyDescent="0.25">
      <c r="A6" s="29" t="s">
        <v>66</v>
      </c>
      <c r="B6" s="29"/>
      <c r="C6" s="29"/>
      <c r="D6" s="29"/>
      <c r="E6" s="29"/>
      <c r="F6" s="29"/>
      <c r="G6" s="29"/>
      <c r="H6" s="29"/>
    </row>
    <row r="7" spans="1:16" ht="15.75" x14ac:dyDescent="0.25">
      <c r="A7" s="29" t="s">
        <v>80</v>
      </c>
      <c r="B7" s="29"/>
      <c r="C7" s="29"/>
      <c r="D7" s="29"/>
      <c r="E7" s="29"/>
      <c r="F7" s="29"/>
      <c r="G7" s="29"/>
      <c r="H7" s="29"/>
    </row>
    <row r="8" spans="1:16" ht="15.75" x14ac:dyDescent="0.25">
      <c r="A8" s="29" t="s">
        <v>68</v>
      </c>
      <c r="B8" s="29"/>
      <c r="C8" s="29"/>
      <c r="D8" s="29"/>
      <c r="E8" s="29"/>
      <c r="F8" s="29"/>
      <c r="G8" s="29"/>
      <c r="H8" s="29"/>
    </row>
    <row r="9" spans="1:16" ht="18.75" x14ac:dyDescent="0.3">
      <c r="A9" s="10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21"/>
      <c r="N9" s="10"/>
      <c r="O9" s="10"/>
      <c r="P9" s="10"/>
    </row>
    <row r="10" spans="1:16" ht="18.75" x14ac:dyDescent="0.3">
      <c r="A10" s="10" t="s">
        <v>60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21"/>
      <c r="N10" s="10"/>
      <c r="O10" s="10"/>
      <c r="P10" s="10"/>
    </row>
    <row r="11" spans="1:16" ht="15.75" x14ac:dyDescent="0.25">
      <c r="A11" s="17" t="s">
        <v>15</v>
      </c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22"/>
      <c r="N11" s="4"/>
      <c r="O11" s="4"/>
      <c r="P11" s="4"/>
    </row>
    <row r="12" spans="1:16" ht="15" customHeight="1" x14ac:dyDescent="0.25">
      <c r="A12" s="14"/>
      <c r="B12" s="4"/>
      <c r="C12" s="4"/>
      <c r="D12" s="12"/>
      <c r="E12" s="4"/>
      <c r="F12" s="4"/>
      <c r="G12" s="4"/>
      <c r="H12" s="4"/>
      <c r="I12" s="4"/>
      <c r="J12" s="4"/>
      <c r="K12" s="4"/>
      <c r="L12" s="4"/>
      <c r="M12" s="22"/>
    </row>
    <row r="13" spans="1:16" ht="30" customHeight="1" x14ac:dyDescent="0.25">
      <c r="A13" s="25" t="s">
        <v>19</v>
      </c>
      <c r="B13" s="26" t="s">
        <v>20</v>
      </c>
      <c r="C13" s="19" t="s">
        <v>21</v>
      </c>
      <c r="D13" s="31" t="s">
        <v>22</v>
      </c>
      <c r="E13" s="32" t="s">
        <v>23</v>
      </c>
      <c r="F13" s="25" t="s">
        <v>33</v>
      </c>
      <c r="G13" s="25" t="s">
        <v>34</v>
      </c>
      <c r="H13" s="25" t="s">
        <v>36</v>
      </c>
      <c r="I13" s="25" t="s">
        <v>35</v>
      </c>
      <c r="J13" s="25" t="s">
        <v>24</v>
      </c>
      <c r="K13" s="25" t="s">
        <v>25</v>
      </c>
      <c r="L13" s="25" t="s">
        <v>26</v>
      </c>
      <c r="M13" s="25" t="s">
        <v>27</v>
      </c>
      <c r="N13" s="25" t="s">
        <v>28</v>
      </c>
      <c r="O13" s="27" t="s">
        <v>29</v>
      </c>
      <c r="P13" s="28"/>
    </row>
    <row r="14" spans="1:16" ht="48" customHeight="1" x14ac:dyDescent="0.25">
      <c r="A14" s="25"/>
      <c r="B14" s="26"/>
      <c r="C14" s="19" t="s">
        <v>31</v>
      </c>
      <c r="D14" s="31"/>
      <c r="E14" s="33"/>
      <c r="F14" s="25"/>
      <c r="G14" s="25"/>
      <c r="H14" s="25"/>
      <c r="I14" s="26"/>
      <c r="J14" s="25"/>
      <c r="K14" s="26"/>
      <c r="L14" s="26"/>
      <c r="M14" s="26"/>
      <c r="N14" s="26"/>
      <c r="O14" s="18" t="s">
        <v>30</v>
      </c>
      <c r="P14" s="18" t="s">
        <v>37</v>
      </c>
    </row>
    <row r="15" spans="1:16" ht="30" x14ac:dyDescent="0.25">
      <c r="A15" s="1">
        <v>1</v>
      </c>
      <c r="B15" s="16" t="s">
        <v>16</v>
      </c>
      <c r="C15" s="8" t="s">
        <v>49</v>
      </c>
      <c r="D15" s="1" t="s">
        <v>50</v>
      </c>
      <c r="E15" s="2" t="s">
        <v>32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1" si="0">A15+1</f>
        <v>2</v>
      </c>
      <c r="B16" s="16" t="s">
        <v>16</v>
      </c>
      <c r="C16" s="9" t="s">
        <v>51</v>
      </c>
      <c r="D16" s="1" t="s">
        <v>52</v>
      </c>
      <c r="E16" s="2" t="s">
        <v>32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3</v>
      </c>
      <c r="B17" s="16" t="s">
        <v>16</v>
      </c>
      <c r="C17" s="9" t="s">
        <v>53</v>
      </c>
      <c r="D17" s="1" t="s">
        <v>54</v>
      </c>
      <c r="E17" s="2" t="s">
        <v>32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 x14ac:dyDescent="0.25">
      <c r="A18" s="1">
        <f t="shared" si="0"/>
        <v>4</v>
      </c>
      <c r="B18" s="16" t="s">
        <v>16</v>
      </c>
      <c r="C18" s="9" t="s">
        <v>42</v>
      </c>
      <c r="D18" s="1" t="s">
        <v>17</v>
      </c>
      <c r="E18" s="2" t="s">
        <v>32</v>
      </c>
      <c r="F18" s="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 x14ac:dyDescent="0.25">
      <c r="A19" s="1">
        <f t="shared" si="0"/>
        <v>5</v>
      </c>
      <c r="B19" s="16" t="s">
        <v>16</v>
      </c>
      <c r="C19" s="9" t="s">
        <v>43</v>
      </c>
      <c r="D19" s="1" t="s">
        <v>18</v>
      </c>
      <c r="E19" s="2" t="s">
        <v>32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 x14ac:dyDescent="0.25">
      <c r="A20" s="1">
        <f t="shared" si="0"/>
        <v>6</v>
      </c>
      <c r="B20" s="2" t="s">
        <v>7</v>
      </c>
      <c r="C20" s="8" t="s">
        <v>55</v>
      </c>
      <c r="D20" s="1" t="s">
        <v>0</v>
      </c>
      <c r="E20" s="2" t="s">
        <v>32</v>
      </c>
      <c r="F20" s="15">
        <v>8025</v>
      </c>
      <c r="G20" s="15"/>
      <c r="H20" s="15">
        <v>5001</v>
      </c>
      <c r="I20" s="15"/>
      <c r="J20" s="15">
        <v>0</v>
      </c>
      <c r="K20" s="15"/>
      <c r="L20" s="15">
        <f>SUM(F20:K20)</f>
        <v>13026</v>
      </c>
      <c r="M20" s="15">
        <f>387.61+431.71</f>
        <v>819.31999999999994</v>
      </c>
      <c r="N20" s="15">
        <f>+L20-M20</f>
        <v>12206.68</v>
      </c>
      <c r="O20" s="15"/>
      <c r="P20" s="15"/>
    </row>
    <row r="21" spans="1:16" ht="30" customHeight="1" x14ac:dyDescent="0.25">
      <c r="A21" s="1">
        <f t="shared" si="0"/>
        <v>7</v>
      </c>
      <c r="B21" s="2" t="s">
        <v>7</v>
      </c>
      <c r="C21" s="8" t="s">
        <v>6</v>
      </c>
      <c r="D21" s="1" t="s">
        <v>38</v>
      </c>
      <c r="E21" s="2" t="s">
        <v>32</v>
      </c>
      <c r="F21" s="15">
        <f>10966+767.62</f>
        <v>11733.62</v>
      </c>
      <c r="G21" s="23"/>
      <c r="H21" s="23">
        <v>2081.34</v>
      </c>
      <c r="I21" s="15"/>
      <c r="J21" s="15">
        <v>375</v>
      </c>
      <c r="K21" s="15"/>
      <c r="L21" s="15">
        <f t="shared" ref="L21:L30" si="1">SUM(F21:K21)</f>
        <v>14189.960000000001</v>
      </c>
      <c r="M21" s="15">
        <f>566.73+480.32</f>
        <v>1047.05</v>
      </c>
      <c r="N21" s="15">
        <f>+L21-M21</f>
        <v>13142.910000000002</v>
      </c>
      <c r="O21" s="15"/>
      <c r="P21" s="15"/>
    </row>
    <row r="22" spans="1:16" ht="30" customHeight="1" x14ac:dyDescent="0.25">
      <c r="A22" s="1">
        <f>+A21+1</f>
        <v>8</v>
      </c>
      <c r="B22" s="2" t="s">
        <v>7</v>
      </c>
      <c r="C22" s="8" t="s">
        <v>58</v>
      </c>
      <c r="D22" s="8" t="s">
        <v>39</v>
      </c>
      <c r="E22" s="2" t="s">
        <v>32</v>
      </c>
      <c r="F22" s="15">
        <v>8025</v>
      </c>
      <c r="G22" s="15"/>
      <c r="H22" s="15">
        <v>2514.7800000000002</v>
      </c>
      <c r="I22" s="15"/>
      <c r="J22" s="15"/>
      <c r="K22" s="15"/>
      <c r="L22" s="15">
        <f t="shared" si="1"/>
        <v>10539.78</v>
      </c>
      <c r="M22" s="15">
        <f>141.65+387.61+307.55</f>
        <v>836.81</v>
      </c>
      <c r="N22" s="15">
        <f t="shared" ref="N22:N30" si="2">+L22-M22</f>
        <v>9702.9700000000012</v>
      </c>
      <c r="O22" s="24"/>
      <c r="P22" s="15"/>
    </row>
    <row r="23" spans="1:16" ht="30" customHeight="1" x14ac:dyDescent="0.25">
      <c r="A23" s="1">
        <f t="shared" ref="A23:A32" si="3">+A22+1</f>
        <v>9</v>
      </c>
      <c r="B23" s="2" t="s">
        <v>7</v>
      </c>
      <c r="C23" s="8" t="s">
        <v>9</v>
      </c>
      <c r="D23" s="1" t="s">
        <v>2</v>
      </c>
      <c r="E23" s="2" t="s">
        <v>32</v>
      </c>
      <c r="F23" s="15">
        <f>4243+297</f>
        <v>4540</v>
      </c>
      <c r="G23" s="15"/>
      <c r="H23" s="15">
        <v>1793.6</v>
      </c>
      <c r="I23" s="15">
        <f>500</f>
        <v>500</v>
      </c>
      <c r="J23" s="15">
        <v>0</v>
      </c>
      <c r="K23" s="15"/>
      <c r="L23" s="15">
        <f t="shared" si="1"/>
        <v>6833.6</v>
      </c>
      <c r="M23" s="15">
        <f>219.28+91.84 +130.66</f>
        <v>441.78</v>
      </c>
      <c r="N23" s="15">
        <f t="shared" si="2"/>
        <v>6391.8200000000006</v>
      </c>
      <c r="O23" s="15"/>
      <c r="P23" s="15"/>
    </row>
    <row r="24" spans="1:16" ht="30" customHeight="1" x14ac:dyDescent="0.25">
      <c r="A24" s="1">
        <f t="shared" si="3"/>
        <v>10</v>
      </c>
      <c r="B24" s="2" t="s">
        <v>7</v>
      </c>
      <c r="C24" s="8" t="s">
        <v>40</v>
      </c>
      <c r="D24" s="1" t="s">
        <v>3</v>
      </c>
      <c r="E24" s="2" t="s">
        <v>32</v>
      </c>
      <c r="F24" s="15">
        <v>4000</v>
      </c>
      <c r="G24" s="15"/>
      <c r="H24" s="15">
        <v>1550</v>
      </c>
      <c r="I24" s="15"/>
      <c r="J24" s="15">
        <v>0</v>
      </c>
      <c r="K24" s="15"/>
      <c r="L24" s="15">
        <f t="shared" si="1"/>
        <v>5550</v>
      </c>
      <c r="M24" s="15">
        <f>193.2+72.29+67.47</f>
        <v>332.96000000000004</v>
      </c>
      <c r="N24" s="15">
        <f t="shared" si="2"/>
        <v>5217.04</v>
      </c>
      <c r="O24" s="15"/>
      <c r="P24" s="15"/>
    </row>
    <row r="25" spans="1:16" ht="30" customHeight="1" x14ac:dyDescent="0.25">
      <c r="A25" s="1">
        <f t="shared" si="3"/>
        <v>11</v>
      </c>
      <c r="B25" s="2" t="s">
        <v>7</v>
      </c>
      <c r="C25" s="8" t="s">
        <v>41</v>
      </c>
      <c r="D25" s="1" t="s">
        <v>1</v>
      </c>
      <c r="E25" s="2" t="s">
        <v>32</v>
      </c>
      <c r="F25" s="15">
        <v>4000</v>
      </c>
      <c r="G25" s="15"/>
      <c r="H25" s="15">
        <v>1550</v>
      </c>
      <c r="I25" s="15"/>
      <c r="J25" s="15">
        <v>0</v>
      </c>
      <c r="K25" s="15"/>
      <c r="L25" s="15">
        <f t="shared" si="1"/>
        <v>5550</v>
      </c>
      <c r="M25" s="15">
        <f>193.2+67.77</f>
        <v>260.96999999999997</v>
      </c>
      <c r="N25" s="15">
        <f t="shared" si="2"/>
        <v>5289.03</v>
      </c>
      <c r="O25" s="15"/>
      <c r="P25" s="15"/>
    </row>
    <row r="26" spans="1:16" ht="30" customHeight="1" x14ac:dyDescent="0.25">
      <c r="A26" s="1">
        <f t="shared" si="3"/>
        <v>12</v>
      </c>
      <c r="B26" s="2" t="s">
        <v>7</v>
      </c>
      <c r="C26" s="8" t="s">
        <v>10</v>
      </c>
      <c r="D26" s="1" t="s">
        <v>48</v>
      </c>
      <c r="E26" s="2" t="s">
        <v>32</v>
      </c>
      <c r="F26" s="15">
        <f>5697+398.79</f>
        <v>6095.79</v>
      </c>
      <c r="G26" s="15"/>
      <c r="H26" s="15">
        <v>2115.83</v>
      </c>
      <c r="I26" s="15">
        <f>500</f>
        <v>500</v>
      </c>
      <c r="J26" s="15"/>
      <c r="K26" s="15"/>
      <c r="L26" s="15">
        <f>SUM(F26:K26)</f>
        <v>8711.619999999999</v>
      </c>
      <c r="M26" s="15">
        <f>294.43+219.79</f>
        <v>514.22</v>
      </c>
      <c r="N26" s="15">
        <f t="shared" si="2"/>
        <v>8197.4</v>
      </c>
      <c r="O26" s="15"/>
      <c r="P26" s="15"/>
    </row>
    <row r="27" spans="1:16" ht="30" customHeight="1" x14ac:dyDescent="0.25">
      <c r="A27" s="1">
        <f t="shared" si="3"/>
        <v>13</v>
      </c>
      <c r="B27" s="2" t="s">
        <v>7</v>
      </c>
      <c r="C27" s="8" t="s">
        <v>11</v>
      </c>
      <c r="D27" s="1" t="s">
        <v>4</v>
      </c>
      <c r="E27" s="2" t="s">
        <v>32</v>
      </c>
      <c r="F27" s="15">
        <f>7392+517.44</f>
        <v>7909.4400000000005</v>
      </c>
      <c r="G27" s="15"/>
      <c r="H27" s="15">
        <v>2708.38</v>
      </c>
      <c r="I27" s="15">
        <f>500</f>
        <v>500</v>
      </c>
      <c r="J27" s="15"/>
      <c r="K27" s="15"/>
      <c r="L27" s="15">
        <f t="shared" si="1"/>
        <v>11117.82</v>
      </c>
      <c r="M27" s="15">
        <f>382.03+335.45</f>
        <v>717.48</v>
      </c>
      <c r="N27" s="15">
        <f t="shared" si="2"/>
        <v>10400.34</v>
      </c>
      <c r="O27" s="15"/>
      <c r="P27" s="15"/>
    </row>
    <row r="28" spans="1:16" ht="30" customHeight="1" x14ac:dyDescent="0.25">
      <c r="A28" s="1">
        <f t="shared" si="3"/>
        <v>14</v>
      </c>
      <c r="B28" s="2" t="s">
        <v>7</v>
      </c>
      <c r="C28" s="8" t="s">
        <v>46</v>
      </c>
      <c r="D28" s="1" t="s">
        <v>47</v>
      </c>
      <c r="E28" s="2" t="s">
        <v>32</v>
      </c>
      <c r="F28" s="15">
        <f>6750+472.5</f>
        <v>7222.5</v>
      </c>
      <c r="G28" s="15"/>
      <c r="H28" s="15">
        <f>548.9</f>
        <v>548.9</v>
      </c>
      <c r="I28" s="15"/>
      <c r="J28" s="15"/>
      <c r="K28" s="15"/>
      <c r="L28" s="15">
        <f t="shared" si="1"/>
        <v>7771.4</v>
      </c>
      <c r="M28" s="15">
        <f>348.85+171.13</f>
        <v>519.98</v>
      </c>
      <c r="N28" s="15">
        <f t="shared" si="2"/>
        <v>7251.42</v>
      </c>
      <c r="O28" s="15"/>
      <c r="P28" s="15"/>
    </row>
    <row r="29" spans="1:16" ht="30" customHeight="1" x14ac:dyDescent="0.25">
      <c r="A29" s="1">
        <f t="shared" si="3"/>
        <v>15</v>
      </c>
      <c r="B29" s="2" t="s">
        <v>7</v>
      </c>
      <c r="C29" s="8" t="s">
        <v>12</v>
      </c>
      <c r="D29" s="1" t="s">
        <v>5</v>
      </c>
      <c r="E29" s="2" t="s">
        <v>32</v>
      </c>
      <c r="F29" s="15">
        <v>4000</v>
      </c>
      <c r="G29" s="15"/>
      <c r="H29" s="15">
        <v>1550</v>
      </c>
      <c r="I29" s="15"/>
      <c r="J29" s="15"/>
      <c r="K29" s="15"/>
      <c r="L29" s="15">
        <f t="shared" si="1"/>
        <v>5550</v>
      </c>
      <c r="M29" s="15">
        <f>66.95+193.2</f>
        <v>260.14999999999998</v>
      </c>
      <c r="N29" s="15">
        <f t="shared" si="2"/>
        <v>5289.85</v>
      </c>
      <c r="O29" s="15"/>
      <c r="P29" s="15"/>
    </row>
    <row r="30" spans="1:16" ht="30" customHeight="1" x14ac:dyDescent="0.25">
      <c r="A30" s="1">
        <f t="shared" si="3"/>
        <v>16</v>
      </c>
      <c r="B30" s="2">
        <v>11</v>
      </c>
      <c r="C30" s="8" t="s">
        <v>44</v>
      </c>
      <c r="D30" s="1" t="s">
        <v>45</v>
      </c>
      <c r="E30" s="2" t="s">
        <v>32</v>
      </c>
      <c r="F30" s="15">
        <v>4000</v>
      </c>
      <c r="G30" s="15"/>
      <c r="H30" s="15">
        <v>1549</v>
      </c>
      <c r="I30" s="15"/>
      <c r="J30" s="15"/>
      <c r="K30" s="15"/>
      <c r="L30" s="15">
        <f t="shared" si="1"/>
        <v>5549</v>
      </c>
      <c r="M30" s="15">
        <f>193.2+66.95</f>
        <v>260.14999999999998</v>
      </c>
      <c r="N30" s="15">
        <f t="shared" si="2"/>
        <v>5288.85</v>
      </c>
      <c r="O30" s="15"/>
      <c r="P30" s="15"/>
    </row>
    <row r="31" spans="1:16" ht="30" customHeight="1" x14ac:dyDescent="0.25">
      <c r="A31" s="1">
        <f t="shared" si="3"/>
        <v>17</v>
      </c>
      <c r="B31" s="2">
        <v>184</v>
      </c>
      <c r="C31" s="8" t="s">
        <v>56</v>
      </c>
      <c r="D31" s="8" t="s">
        <v>13</v>
      </c>
      <c r="E31" s="2" t="s">
        <v>32</v>
      </c>
      <c r="F31" s="15">
        <v>4500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f t="shared" si="3"/>
        <v>18</v>
      </c>
      <c r="B32" s="2">
        <v>183</v>
      </c>
      <c r="C32" s="8" t="s">
        <v>69</v>
      </c>
      <c r="D32" s="1" t="s">
        <v>57</v>
      </c>
      <c r="E32" s="2" t="s">
        <v>32</v>
      </c>
      <c r="F32" s="15">
        <v>8960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4" spans="1:16" ht="15" customHeight="1" x14ac:dyDescent="0.25"/>
    <row r="36" spans="1:16" s="6" customFormat="1" ht="0.95" customHeight="1" x14ac:dyDescent="0.25">
      <c r="A36"/>
      <c r="B36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0"/>
    </row>
    <row r="37" spans="1:16" x14ac:dyDescent="0.25">
      <c r="C37" s="7" t="s">
        <v>14</v>
      </c>
      <c r="D37" s="4"/>
      <c r="E37" s="4"/>
      <c r="F37" s="4"/>
      <c r="G37" s="4"/>
      <c r="H37" s="4"/>
      <c r="I37" s="4"/>
      <c r="J37" s="4"/>
      <c r="K37" s="4"/>
      <c r="L37" s="4"/>
      <c r="M37" s="22"/>
      <c r="N37" s="4"/>
      <c r="O37" s="4"/>
    </row>
    <row r="38" spans="1:16" x14ac:dyDescent="0.25">
      <c r="B38" s="5"/>
      <c r="C38" s="7" t="s">
        <v>59</v>
      </c>
      <c r="D38" s="4"/>
      <c r="E38" s="4"/>
      <c r="F38" s="4"/>
      <c r="G38" s="4"/>
      <c r="H38" s="4"/>
      <c r="I38" s="4"/>
      <c r="J38" s="4"/>
      <c r="K38" s="4"/>
      <c r="L38" s="4"/>
      <c r="M38" s="22"/>
      <c r="N38" s="4"/>
      <c r="O38" s="4"/>
    </row>
  </sheetData>
  <mergeCells count="22">
    <mergeCell ref="G13:G14"/>
    <mergeCell ref="A1:H1"/>
    <mergeCell ref="A2:H2"/>
    <mergeCell ref="A3:H3"/>
    <mergeCell ref="A4:H4"/>
    <mergeCell ref="A5:H5"/>
    <mergeCell ref="A6:H6"/>
    <mergeCell ref="A7:H7"/>
    <mergeCell ref="A8:H8"/>
    <mergeCell ref="A13:A14"/>
    <mergeCell ref="B13:B14"/>
    <mergeCell ref="D13:D14"/>
    <mergeCell ref="E13:E14"/>
    <mergeCell ref="F13:F14"/>
    <mergeCell ref="N13:N14"/>
    <mergeCell ref="O13:P13"/>
    <mergeCell ref="H13:H14"/>
    <mergeCell ref="I13:I14"/>
    <mergeCell ref="J13:J14"/>
    <mergeCell ref="K13:K14"/>
    <mergeCell ref="L13:L14"/>
    <mergeCell ref="M13:M14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9FCA-675B-4781-89A7-4A36BBBD3D05}">
  <dimension ref="A1:P38"/>
  <sheetViews>
    <sheetView showGridLines="0" zoomScale="85" zoomScaleNormal="85" workbookViewId="0">
      <selection activeCell="C26" sqref="C26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5.75" x14ac:dyDescent="0.25">
      <c r="A1" s="29" t="s">
        <v>61</v>
      </c>
      <c r="B1" s="29"/>
      <c r="C1" s="29"/>
      <c r="D1" s="29"/>
      <c r="E1" s="29"/>
      <c r="F1" s="29"/>
      <c r="G1" s="29"/>
      <c r="H1" s="29"/>
    </row>
    <row r="2" spans="1:16" ht="15.75" x14ac:dyDescent="0.25">
      <c r="A2" s="29" t="s">
        <v>62</v>
      </c>
      <c r="B2" s="29"/>
      <c r="C2" s="29"/>
      <c r="D2" s="29"/>
      <c r="E2" s="29"/>
      <c r="F2" s="29"/>
      <c r="G2" s="29"/>
      <c r="H2" s="29"/>
    </row>
    <row r="3" spans="1:16" ht="15.75" customHeight="1" x14ac:dyDescent="0.25">
      <c r="A3" s="30" t="s">
        <v>63</v>
      </c>
      <c r="B3" s="30"/>
      <c r="C3" s="30"/>
      <c r="D3" s="30"/>
      <c r="E3" s="30"/>
      <c r="F3" s="30"/>
      <c r="G3" s="30"/>
      <c r="H3" s="30"/>
    </row>
    <row r="4" spans="1:16" ht="15.75" x14ac:dyDescent="0.25">
      <c r="A4" s="29" t="s">
        <v>64</v>
      </c>
      <c r="B4" s="29"/>
      <c r="C4" s="29"/>
      <c r="D4" s="29"/>
      <c r="E4" s="29"/>
      <c r="F4" s="29"/>
      <c r="G4" s="29"/>
      <c r="H4" s="29"/>
    </row>
    <row r="5" spans="1:16" ht="15.75" x14ac:dyDescent="0.25">
      <c r="A5" s="29" t="s">
        <v>65</v>
      </c>
      <c r="B5" s="29"/>
      <c r="C5" s="29"/>
      <c r="D5" s="29"/>
      <c r="E5" s="29"/>
      <c r="F5" s="29"/>
      <c r="G5" s="29"/>
      <c r="H5" s="29"/>
    </row>
    <row r="6" spans="1:16" ht="15.75" x14ac:dyDescent="0.25">
      <c r="A6" s="29" t="s">
        <v>66</v>
      </c>
      <c r="B6" s="29"/>
      <c r="C6" s="29"/>
      <c r="D6" s="29"/>
      <c r="E6" s="29"/>
      <c r="F6" s="29"/>
      <c r="G6" s="29"/>
      <c r="H6" s="29"/>
    </row>
    <row r="7" spans="1:16" ht="15.75" x14ac:dyDescent="0.25">
      <c r="A7" s="29" t="s">
        <v>67</v>
      </c>
      <c r="B7" s="29"/>
      <c r="C7" s="29"/>
      <c r="D7" s="29"/>
      <c r="E7" s="29"/>
      <c r="F7" s="29"/>
      <c r="G7" s="29"/>
      <c r="H7" s="29"/>
    </row>
    <row r="8" spans="1:16" ht="15.75" x14ac:dyDescent="0.25">
      <c r="A8" s="29" t="s">
        <v>70</v>
      </c>
      <c r="B8" s="29"/>
      <c r="C8" s="29"/>
      <c r="D8" s="29"/>
      <c r="E8" s="29"/>
      <c r="F8" s="29"/>
      <c r="G8" s="29"/>
      <c r="H8" s="29"/>
    </row>
    <row r="9" spans="1:16" ht="18.75" x14ac:dyDescent="0.3">
      <c r="A9" s="10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21"/>
      <c r="N9" s="10"/>
      <c r="O9" s="10"/>
      <c r="P9" s="10"/>
    </row>
    <row r="10" spans="1:16" ht="18.75" x14ac:dyDescent="0.3">
      <c r="A10" s="10" t="s">
        <v>71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21"/>
      <c r="N10" s="10"/>
      <c r="O10" s="10"/>
      <c r="P10" s="10"/>
    </row>
    <row r="11" spans="1:16" ht="15.75" x14ac:dyDescent="0.25">
      <c r="A11" s="17" t="s">
        <v>15</v>
      </c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22"/>
      <c r="N11" s="4"/>
      <c r="O11" s="4"/>
      <c r="P11" s="4"/>
    </row>
    <row r="12" spans="1:16" ht="15" customHeight="1" x14ac:dyDescent="0.25">
      <c r="A12" s="14"/>
      <c r="B12" s="4"/>
      <c r="C12" s="4"/>
      <c r="D12" s="12"/>
      <c r="E12" s="4"/>
      <c r="F12" s="4"/>
      <c r="G12" s="4"/>
      <c r="H12" s="4"/>
      <c r="I12" s="4"/>
      <c r="J12" s="4"/>
      <c r="K12" s="4"/>
      <c r="L12" s="4"/>
      <c r="M12" s="22"/>
    </row>
    <row r="13" spans="1:16" ht="30" customHeight="1" x14ac:dyDescent="0.25">
      <c r="A13" s="25" t="s">
        <v>19</v>
      </c>
      <c r="B13" s="26" t="s">
        <v>20</v>
      </c>
      <c r="C13" s="19" t="s">
        <v>21</v>
      </c>
      <c r="D13" s="31" t="s">
        <v>22</v>
      </c>
      <c r="E13" s="32" t="s">
        <v>23</v>
      </c>
      <c r="F13" s="25" t="s">
        <v>33</v>
      </c>
      <c r="G13" s="25" t="s">
        <v>34</v>
      </c>
      <c r="H13" s="25" t="s">
        <v>36</v>
      </c>
      <c r="I13" s="25" t="s">
        <v>35</v>
      </c>
      <c r="J13" s="25" t="s">
        <v>24</v>
      </c>
      <c r="K13" s="25" t="s">
        <v>25</v>
      </c>
      <c r="L13" s="25" t="s">
        <v>26</v>
      </c>
      <c r="M13" s="25" t="s">
        <v>27</v>
      </c>
      <c r="N13" s="25" t="s">
        <v>28</v>
      </c>
      <c r="O13" s="27" t="s">
        <v>29</v>
      </c>
      <c r="P13" s="28"/>
    </row>
    <row r="14" spans="1:16" ht="48" customHeight="1" x14ac:dyDescent="0.25">
      <c r="A14" s="25"/>
      <c r="B14" s="26"/>
      <c r="C14" s="19" t="s">
        <v>31</v>
      </c>
      <c r="D14" s="31"/>
      <c r="E14" s="33"/>
      <c r="F14" s="25"/>
      <c r="G14" s="25"/>
      <c r="H14" s="25"/>
      <c r="I14" s="26"/>
      <c r="J14" s="25"/>
      <c r="K14" s="26"/>
      <c r="L14" s="26"/>
      <c r="M14" s="26"/>
      <c r="N14" s="26"/>
      <c r="O14" s="18" t="s">
        <v>30</v>
      </c>
      <c r="P14" s="18" t="s">
        <v>37</v>
      </c>
    </row>
    <row r="15" spans="1:16" ht="30" x14ac:dyDescent="0.25">
      <c r="A15" s="1">
        <v>1</v>
      </c>
      <c r="B15" s="16" t="s">
        <v>16</v>
      </c>
      <c r="C15" s="8" t="s">
        <v>49</v>
      </c>
      <c r="D15" s="1" t="s">
        <v>50</v>
      </c>
      <c r="E15" s="2" t="s">
        <v>32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1" si="0">A15+1</f>
        <v>2</v>
      </c>
      <c r="B16" s="16" t="s">
        <v>16</v>
      </c>
      <c r="C16" s="9" t="s">
        <v>51</v>
      </c>
      <c r="D16" s="1" t="s">
        <v>52</v>
      </c>
      <c r="E16" s="2" t="s">
        <v>32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3</v>
      </c>
      <c r="B17" s="16" t="s">
        <v>16</v>
      </c>
      <c r="C17" s="9" t="s">
        <v>53</v>
      </c>
      <c r="D17" s="1" t="s">
        <v>54</v>
      </c>
      <c r="E17" s="2" t="s">
        <v>32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 x14ac:dyDescent="0.25">
      <c r="A18" s="1">
        <f t="shared" si="0"/>
        <v>4</v>
      </c>
      <c r="B18" s="16" t="s">
        <v>16</v>
      </c>
      <c r="C18" s="9" t="s">
        <v>42</v>
      </c>
      <c r="D18" s="1" t="s">
        <v>17</v>
      </c>
      <c r="E18" s="2" t="s">
        <v>32</v>
      </c>
      <c r="F18" s="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 x14ac:dyDescent="0.25">
      <c r="A19" s="1">
        <f t="shared" si="0"/>
        <v>5</v>
      </c>
      <c r="B19" s="16" t="s">
        <v>16</v>
      </c>
      <c r="C19" s="9" t="s">
        <v>43</v>
      </c>
      <c r="D19" s="1" t="s">
        <v>18</v>
      </c>
      <c r="E19" s="2" t="s">
        <v>32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 x14ac:dyDescent="0.25">
      <c r="A20" s="1">
        <f t="shared" si="0"/>
        <v>6</v>
      </c>
      <c r="B20" s="2" t="s">
        <v>7</v>
      </c>
      <c r="C20" s="8" t="s">
        <v>55</v>
      </c>
      <c r="D20" s="1" t="s">
        <v>0</v>
      </c>
      <c r="E20" s="2" t="s">
        <v>32</v>
      </c>
      <c r="F20" s="15">
        <v>8025</v>
      </c>
      <c r="G20" s="15">
        <v>50.16</v>
      </c>
      <c r="H20" s="15">
        <v>5001</v>
      </c>
      <c r="I20" s="15"/>
      <c r="J20" s="15">
        <v>0</v>
      </c>
      <c r="K20" s="15"/>
      <c r="L20" s="15">
        <f>SUM(F20:K20)</f>
        <v>13076.16</v>
      </c>
      <c r="M20" s="15">
        <f>390.03+431.71</f>
        <v>821.74</v>
      </c>
      <c r="N20" s="15">
        <f>+L20-M20</f>
        <v>12254.42</v>
      </c>
      <c r="O20" s="15"/>
      <c r="P20" s="15"/>
    </row>
    <row r="21" spans="1:16" ht="30" customHeight="1" x14ac:dyDescent="0.25">
      <c r="A21" s="1">
        <f t="shared" si="0"/>
        <v>7</v>
      </c>
      <c r="B21" s="2" t="s">
        <v>7</v>
      </c>
      <c r="C21" s="8" t="s">
        <v>6</v>
      </c>
      <c r="D21" s="1" t="s">
        <v>38</v>
      </c>
      <c r="E21" s="2" t="s">
        <v>32</v>
      </c>
      <c r="F21" s="15">
        <f>10966+767.62</f>
        <v>11733.62</v>
      </c>
      <c r="G21" s="23">
        <v>1442.28</v>
      </c>
      <c r="H21" s="23">
        <v>2081.34</v>
      </c>
      <c r="I21" s="15"/>
      <c r="J21" s="15">
        <v>375</v>
      </c>
      <c r="K21" s="15"/>
      <c r="L21" s="15">
        <f t="shared" ref="L21:L30" si="1">SUM(F21:K21)</f>
        <v>15632.240000000002</v>
      </c>
      <c r="M21" s="15">
        <f>636.4+480.32</f>
        <v>1116.72</v>
      </c>
      <c r="N21" s="15">
        <f>+L21-M21</f>
        <v>14515.520000000002</v>
      </c>
      <c r="O21" s="15"/>
      <c r="P21" s="15"/>
    </row>
    <row r="22" spans="1:16" ht="30" customHeight="1" x14ac:dyDescent="0.25">
      <c r="A22" s="1">
        <f>+A21+1</f>
        <v>8</v>
      </c>
      <c r="B22" s="2" t="s">
        <v>7</v>
      </c>
      <c r="C22" s="8" t="s">
        <v>58</v>
      </c>
      <c r="D22" s="8" t="s">
        <v>39</v>
      </c>
      <c r="E22" s="2" t="s">
        <v>32</v>
      </c>
      <c r="F22" s="15">
        <v>8025</v>
      </c>
      <c r="G22" s="15"/>
      <c r="H22" s="15">
        <v>2514.7800000000002</v>
      </c>
      <c r="I22" s="15"/>
      <c r="J22" s="15"/>
      <c r="K22" s="15"/>
      <c r="L22" s="15">
        <f t="shared" si="1"/>
        <v>10539.78</v>
      </c>
      <c r="M22" s="15">
        <f>141.65+387.61+307.55</f>
        <v>836.81</v>
      </c>
      <c r="N22" s="15">
        <f t="shared" ref="N22:N30" si="2">+L22-M22</f>
        <v>9702.9700000000012</v>
      </c>
      <c r="O22" s="24"/>
      <c r="P22" s="15"/>
    </row>
    <row r="23" spans="1:16" ht="30" customHeight="1" x14ac:dyDescent="0.25">
      <c r="A23" s="1">
        <f t="shared" ref="A23:A32" si="3">+A22+1</f>
        <v>9</v>
      </c>
      <c r="B23" s="2" t="s">
        <v>7</v>
      </c>
      <c r="C23" s="8" t="s">
        <v>9</v>
      </c>
      <c r="D23" s="1" t="s">
        <v>2</v>
      </c>
      <c r="E23" s="2" t="s">
        <v>32</v>
      </c>
      <c r="F23" s="15">
        <f>4243+297</f>
        <v>4540</v>
      </c>
      <c r="G23" s="15"/>
      <c r="H23" s="15">
        <v>1793.6</v>
      </c>
      <c r="I23" s="15">
        <f>500</f>
        <v>500</v>
      </c>
      <c r="J23" s="15">
        <v>0</v>
      </c>
      <c r="K23" s="15"/>
      <c r="L23" s="15">
        <f t="shared" si="1"/>
        <v>6833.6</v>
      </c>
      <c r="M23" s="15">
        <f>219.28+91.84 +130.66</f>
        <v>441.78</v>
      </c>
      <c r="N23" s="15">
        <f t="shared" si="2"/>
        <v>6391.8200000000006</v>
      </c>
      <c r="O23" s="15"/>
      <c r="P23" s="15"/>
    </row>
    <row r="24" spans="1:16" ht="30" customHeight="1" x14ac:dyDescent="0.25">
      <c r="A24" s="1">
        <f t="shared" si="3"/>
        <v>10</v>
      </c>
      <c r="B24" s="2" t="s">
        <v>7</v>
      </c>
      <c r="C24" s="8" t="s">
        <v>40</v>
      </c>
      <c r="D24" s="1" t="s">
        <v>3</v>
      </c>
      <c r="E24" s="2" t="s">
        <v>32</v>
      </c>
      <c r="F24" s="15">
        <v>4000</v>
      </c>
      <c r="G24" s="15">
        <v>516.63</v>
      </c>
      <c r="H24" s="15">
        <v>1550</v>
      </c>
      <c r="I24" s="15"/>
      <c r="J24" s="15">
        <v>0</v>
      </c>
      <c r="K24" s="15"/>
      <c r="L24" s="15">
        <f t="shared" si="1"/>
        <v>6066.63</v>
      </c>
      <c r="M24" s="15">
        <f>218.15+76.89+67.47</f>
        <v>362.51</v>
      </c>
      <c r="N24" s="15">
        <f t="shared" si="2"/>
        <v>5704.12</v>
      </c>
      <c r="O24" s="15"/>
      <c r="P24" s="15"/>
    </row>
    <row r="25" spans="1:16" ht="30" customHeight="1" x14ac:dyDescent="0.25">
      <c r="A25" s="1">
        <f t="shared" si="3"/>
        <v>11</v>
      </c>
      <c r="B25" s="2" t="s">
        <v>7</v>
      </c>
      <c r="C25" s="8" t="s">
        <v>41</v>
      </c>
      <c r="D25" s="1" t="s">
        <v>1</v>
      </c>
      <c r="E25" s="2" t="s">
        <v>32</v>
      </c>
      <c r="F25" s="15">
        <v>4000</v>
      </c>
      <c r="G25" s="15">
        <v>25</v>
      </c>
      <c r="H25" s="15">
        <v>1550</v>
      </c>
      <c r="I25" s="15"/>
      <c r="J25" s="15">
        <v>0</v>
      </c>
      <c r="K25" s="15"/>
      <c r="L25" s="15">
        <f t="shared" si="1"/>
        <v>5575</v>
      </c>
      <c r="M25" s="15">
        <f>194.41+67.77</f>
        <v>262.18</v>
      </c>
      <c r="N25" s="15">
        <f t="shared" si="2"/>
        <v>5312.82</v>
      </c>
      <c r="O25" s="15"/>
      <c r="P25" s="15"/>
    </row>
    <row r="26" spans="1:16" ht="30" customHeight="1" x14ac:dyDescent="0.25">
      <c r="A26" s="1">
        <f t="shared" si="3"/>
        <v>12</v>
      </c>
      <c r="B26" s="2" t="s">
        <v>7</v>
      </c>
      <c r="C26" s="8" t="s">
        <v>10</v>
      </c>
      <c r="D26" s="1" t="s">
        <v>48</v>
      </c>
      <c r="E26" s="2" t="s">
        <v>32</v>
      </c>
      <c r="F26" s="15">
        <f>5697+398.79</f>
        <v>6095.79</v>
      </c>
      <c r="G26" s="15">
        <v>749.3</v>
      </c>
      <c r="H26" s="15">
        <v>2115.83</v>
      </c>
      <c r="I26" s="15">
        <f>500</f>
        <v>500</v>
      </c>
      <c r="J26" s="15"/>
      <c r="K26" s="15"/>
      <c r="L26" s="15">
        <f>SUM(F26:K26)</f>
        <v>9460.92</v>
      </c>
      <c r="M26" s="15">
        <f>330.62+219.79</f>
        <v>550.41</v>
      </c>
      <c r="N26" s="15">
        <f t="shared" si="2"/>
        <v>8910.51</v>
      </c>
      <c r="O26" s="15"/>
      <c r="P26" s="15"/>
    </row>
    <row r="27" spans="1:16" ht="30" customHeight="1" x14ac:dyDescent="0.25">
      <c r="A27" s="1">
        <f t="shared" si="3"/>
        <v>13</v>
      </c>
      <c r="B27" s="2" t="s">
        <v>7</v>
      </c>
      <c r="C27" s="8" t="s">
        <v>11</v>
      </c>
      <c r="D27" s="1" t="s">
        <v>4</v>
      </c>
      <c r="E27" s="2" t="s">
        <v>32</v>
      </c>
      <c r="F27" s="15">
        <f>7392+517.44</f>
        <v>7909.4400000000005</v>
      </c>
      <c r="G27" s="15">
        <v>972.16</v>
      </c>
      <c r="H27" s="15">
        <v>2708.38</v>
      </c>
      <c r="I27" s="15">
        <f>500</f>
        <v>500</v>
      </c>
      <c r="J27" s="15"/>
      <c r="K27" s="15"/>
      <c r="L27" s="15">
        <f t="shared" si="1"/>
        <v>12089.98</v>
      </c>
      <c r="M27" s="15">
        <f>428.98+335.45</f>
        <v>764.43000000000006</v>
      </c>
      <c r="N27" s="15">
        <f t="shared" si="2"/>
        <v>11325.55</v>
      </c>
      <c r="O27" s="15"/>
      <c r="P27" s="15"/>
    </row>
    <row r="28" spans="1:16" ht="30" customHeight="1" x14ac:dyDescent="0.25">
      <c r="A28" s="1">
        <f t="shared" si="3"/>
        <v>14</v>
      </c>
      <c r="B28" s="2" t="s">
        <v>7</v>
      </c>
      <c r="C28" s="8" t="s">
        <v>46</v>
      </c>
      <c r="D28" s="1" t="s">
        <v>47</v>
      </c>
      <c r="E28" s="2" t="s">
        <v>32</v>
      </c>
      <c r="F28" s="15">
        <f>6750+472.5</f>
        <v>7222.5</v>
      </c>
      <c r="G28" s="15"/>
      <c r="H28" s="15">
        <f>548.9</f>
        <v>548.9</v>
      </c>
      <c r="I28" s="15"/>
      <c r="J28" s="15"/>
      <c r="K28" s="15"/>
      <c r="L28" s="15">
        <f t="shared" si="1"/>
        <v>7771.4</v>
      </c>
      <c r="M28" s="15">
        <f>348.85+171.13</f>
        <v>519.98</v>
      </c>
      <c r="N28" s="15">
        <f t="shared" si="2"/>
        <v>7251.42</v>
      </c>
      <c r="O28" s="15"/>
      <c r="P28" s="15"/>
    </row>
    <row r="29" spans="1:16" ht="30" customHeight="1" x14ac:dyDescent="0.25">
      <c r="A29" s="1">
        <f t="shared" si="3"/>
        <v>15</v>
      </c>
      <c r="B29" s="2" t="s">
        <v>7</v>
      </c>
      <c r="C29" s="8" t="s">
        <v>12</v>
      </c>
      <c r="D29" s="1" t="s">
        <v>5</v>
      </c>
      <c r="E29" s="2" t="s">
        <v>32</v>
      </c>
      <c r="F29" s="15">
        <v>4000</v>
      </c>
      <c r="G29" s="15">
        <v>508.3</v>
      </c>
      <c r="H29" s="15">
        <v>1550</v>
      </c>
      <c r="I29" s="15"/>
      <c r="J29" s="15"/>
      <c r="K29" s="15"/>
      <c r="L29" s="15">
        <f t="shared" si="1"/>
        <v>6058.3</v>
      </c>
      <c r="M29" s="15">
        <f>217.75+66.95</f>
        <v>284.7</v>
      </c>
      <c r="N29" s="15">
        <f t="shared" si="2"/>
        <v>5773.6</v>
      </c>
      <c r="O29" s="15"/>
      <c r="P29" s="15"/>
    </row>
    <row r="30" spans="1:16" ht="30" customHeight="1" x14ac:dyDescent="0.25">
      <c r="A30" s="1">
        <f t="shared" si="3"/>
        <v>16</v>
      </c>
      <c r="B30" s="2">
        <v>11</v>
      </c>
      <c r="C30" s="8" t="s">
        <v>44</v>
      </c>
      <c r="D30" s="1" t="s">
        <v>45</v>
      </c>
      <c r="E30" s="2" t="s">
        <v>32</v>
      </c>
      <c r="F30" s="15">
        <v>4000</v>
      </c>
      <c r="G30" s="15">
        <v>508.3</v>
      </c>
      <c r="H30" s="15">
        <v>1549</v>
      </c>
      <c r="I30" s="15"/>
      <c r="J30" s="15"/>
      <c r="K30" s="15"/>
      <c r="L30" s="15">
        <f t="shared" si="1"/>
        <v>6057.3</v>
      </c>
      <c r="M30" s="15">
        <f>217.75+66.95</f>
        <v>284.7</v>
      </c>
      <c r="N30" s="15">
        <f t="shared" si="2"/>
        <v>5772.6</v>
      </c>
      <c r="O30" s="15"/>
      <c r="P30" s="15"/>
    </row>
    <row r="31" spans="1:16" ht="30" customHeight="1" x14ac:dyDescent="0.25">
      <c r="A31" s="1">
        <f t="shared" si="3"/>
        <v>17</v>
      </c>
      <c r="B31" s="2">
        <v>184</v>
      </c>
      <c r="C31" s="8" t="s">
        <v>56</v>
      </c>
      <c r="D31" s="8" t="s">
        <v>13</v>
      </c>
      <c r="E31" s="2" t="s">
        <v>32</v>
      </c>
      <c r="F31" s="15">
        <v>4500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f t="shared" si="3"/>
        <v>18</v>
      </c>
      <c r="B32" s="2">
        <v>183</v>
      </c>
      <c r="C32" s="8" t="s">
        <v>69</v>
      </c>
      <c r="D32" s="1" t="s">
        <v>57</v>
      </c>
      <c r="E32" s="2" t="s">
        <v>32</v>
      </c>
      <c r="F32" s="15">
        <v>8960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4" spans="1:16" ht="15" customHeight="1" x14ac:dyDescent="0.25"/>
    <row r="36" spans="1:16" s="6" customFormat="1" ht="0.95" customHeight="1" x14ac:dyDescent="0.25">
      <c r="A36"/>
      <c r="B36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0"/>
    </row>
    <row r="37" spans="1:16" x14ac:dyDescent="0.25">
      <c r="C37" s="7" t="s">
        <v>14</v>
      </c>
      <c r="D37" s="4"/>
      <c r="E37" s="4"/>
      <c r="F37" s="4"/>
      <c r="G37" s="4"/>
      <c r="H37" s="4"/>
      <c r="I37" s="4"/>
      <c r="J37" s="4"/>
      <c r="K37" s="4"/>
      <c r="L37" s="4"/>
      <c r="M37" s="22"/>
      <c r="N37" s="4"/>
      <c r="O37" s="4"/>
    </row>
    <row r="38" spans="1:16" x14ac:dyDescent="0.25">
      <c r="B38" s="5"/>
      <c r="C38" s="7" t="s">
        <v>59</v>
      </c>
      <c r="D38" s="4"/>
      <c r="E38" s="4"/>
      <c r="F38" s="4"/>
      <c r="G38" s="4"/>
      <c r="H38" s="4"/>
      <c r="I38" s="4"/>
      <c r="J38" s="4"/>
      <c r="K38" s="4"/>
      <c r="L38" s="4"/>
      <c r="M38" s="22"/>
      <c r="N38" s="4"/>
      <c r="O38" s="4"/>
    </row>
  </sheetData>
  <mergeCells count="22">
    <mergeCell ref="O13:P13"/>
    <mergeCell ref="I13:I14"/>
    <mergeCell ref="J13:J14"/>
    <mergeCell ref="K13:K14"/>
    <mergeCell ref="L13:L14"/>
    <mergeCell ref="M13:M14"/>
    <mergeCell ref="N13:N14"/>
    <mergeCell ref="A7:H7"/>
    <mergeCell ref="A8:H8"/>
    <mergeCell ref="A13:A14"/>
    <mergeCell ref="B13:B14"/>
    <mergeCell ref="D13:D14"/>
    <mergeCell ref="E13:E14"/>
    <mergeCell ref="F13:F14"/>
    <mergeCell ref="G13:G14"/>
    <mergeCell ref="H13:H14"/>
    <mergeCell ref="A6:H6"/>
    <mergeCell ref="A1:H1"/>
    <mergeCell ref="A2:H2"/>
    <mergeCell ref="A3:H3"/>
    <mergeCell ref="A4:H4"/>
    <mergeCell ref="A5:H5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273A-216F-4A7A-84B1-45078E616632}">
  <dimension ref="A1:P38"/>
  <sheetViews>
    <sheetView showGridLines="0" zoomScale="85" zoomScaleNormal="85" workbookViewId="0">
      <selection activeCell="D27" sqref="D27"/>
    </sheetView>
  </sheetViews>
  <sheetFormatPr baseColWidth="10" defaultRowHeight="15" x14ac:dyDescent="0.25"/>
  <cols>
    <col min="1" max="1" width="3.2851562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5.75" x14ac:dyDescent="0.25">
      <c r="A1" s="29" t="s">
        <v>61</v>
      </c>
      <c r="B1" s="29"/>
      <c r="C1" s="29"/>
      <c r="D1" s="29"/>
      <c r="E1" s="29"/>
      <c r="F1" s="29"/>
      <c r="G1" s="29"/>
      <c r="H1" s="29"/>
    </row>
    <row r="2" spans="1:16" ht="15.75" x14ac:dyDescent="0.25">
      <c r="A2" s="29" t="s">
        <v>62</v>
      </c>
      <c r="B2" s="29"/>
      <c r="C2" s="29"/>
      <c r="D2" s="29"/>
      <c r="E2" s="29"/>
      <c r="F2" s="29"/>
      <c r="G2" s="29"/>
      <c r="H2" s="29"/>
    </row>
    <row r="3" spans="1:16" ht="15.75" customHeight="1" x14ac:dyDescent="0.25">
      <c r="A3" s="30" t="s">
        <v>63</v>
      </c>
      <c r="B3" s="30"/>
      <c r="C3" s="30"/>
      <c r="D3" s="30"/>
      <c r="E3" s="30"/>
      <c r="F3" s="30"/>
      <c r="G3" s="30"/>
      <c r="H3" s="30"/>
    </row>
    <row r="4" spans="1:16" ht="15.75" x14ac:dyDescent="0.25">
      <c r="A4" s="29" t="s">
        <v>64</v>
      </c>
      <c r="B4" s="29"/>
      <c r="C4" s="29"/>
      <c r="D4" s="29"/>
      <c r="E4" s="29"/>
      <c r="F4" s="29"/>
      <c r="G4" s="29"/>
      <c r="H4" s="29"/>
    </row>
    <row r="5" spans="1:16" ht="15.75" x14ac:dyDescent="0.25">
      <c r="A5" s="29" t="s">
        <v>65</v>
      </c>
      <c r="B5" s="29"/>
      <c r="C5" s="29"/>
      <c r="D5" s="29"/>
      <c r="E5" s="29"/>
      <c r="F5" s="29"/>
      <c r="G5" s="29"/>
      <c r="H5" s="29"/>
    </row>
    <row r="6" spans="1:16" ht="15.75" x14ac:dyDescent="0.25">
      <c r="A6" s="29" t="s">
        <v>66</v>
      </c>
      <c r="B6" s="29"/>
      <c r="C6" s="29"/>
      <c r="D6" s="29"/>
      <c r="E6" s="29"/>
      <c r="F6" s="29"/>
      <c r="G6" s="29"/>
      <c r="H6" s="29"/>
    </row>
    <row r="7" spans="1:16" ht="15.75" x14ac:dyDescent="0.25">
      <c r="A7" s="29" t="s">
        <v>72</v>
      </c>
      <c r="B7" s="29"/>
      <c r="C7" s="29"/>
      <c r="D7" s="29"/>
      <c r="E7" s="29"/>
      <c r="F7" s="29"/>
      <c r="G7" s="29"/>
      <c r="H7" s="29"/>
    </row>
    <row r="8" spans="1:16" ht="15.75" x14ac:dyDescent="0.25">
      <c r="A8" s="29" t="s">
        <v>73</v>
      </c>
      <c r="B8" s="29"/>
      <c r="C8" s="29"/>
      <c r="D8" s="29"/>
      <c r="E8" s="29"/>
      <c r="F8" s="29"/>
      <c r="G8" s="29"/>
      <c r="H8" s="29"/>
    </row>
    <row r="9" spans="1:16" ht="18.75" x14ac:dyDescent="0.3">
      <c r="A9" s="10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21"/>
      <c r="N9" s="10"/>
      <c r="O9" s="10"/>
      <c r="P9" s="10"/>
    </row>
    <row r="10" spans="1:16" ht="18.75" x14ac:dyDescent="0.3">
      <c r="A10" s="10" t="s">
        <v>74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21"/>
      <c r="N10" s="10"/>
      <c r="O10" s="10"/>
      <c r="P10" s="10"/>
    </row>
    <row r="11" spans="1:16" ht="15.75" x14ac:dyDescent="0.25">
      <c r="A11" s="17" t="s">
        <v>15</v>
      </c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22"/>
      <c r="N11" s="4"/>
      <c r="O11" s="4"/>
      <c r="P11" s="4"/>
    </row>
    <row r="12" spans="1:16" ht="15" customHeight="1" x14ac:dyDescent="0.25">
      <c r="A12" s="14"/>
      <c r="B12" s="4"/>
      <c r="C12" s="4"/>
      <c r="D12" s="12"/>
      <c r="E12" s="4"/>
      <c r="F12" s="4"/>
      <c r="G12" s="4"/>
      <c r="H12" s="4"/>
      <c r="I12" s="4"/>
      <c r="J12" s="4"/>
      <c r="K12" s="4"/>
      <c r="L12" s="4"/>
      <c r="M12" s="22"/>
    </row>
    <row r="13" spans="1:16" ht="30" customHeight="1" x14ac:dyDescent="0.25">
      <c r="A13" s="25" t="s">
        <v>19</v>
      </c>
      <c r="B13" s="26" t="s">
        <v>20</v>
      </c>
      <c r="C13" s="19" t="s">
        <v>21</v>
      </c>
      <c r="D13" s="31" t="s">
        <v>22</v>
      </c>
      <c r="E13" s="32" t="s">
        <v>23</v>
      </c>
      <c r="F13" s="25" t="s">
        <v>33</v>
      </c>
      <c r="G13" s="25" t="s">
        <v>34</v>
      </c>
      <c r="H13" s="25" t="s">
        <v>36</v>
      </c>
      <c r="I13" s="25" t="s">
        <v>35</v>
      </c>
      <c r="J13" s="25" t="s">
        <v>24</v>
      </c>
      <c r="K13" s="25" t="s">
        <v>25</v>
      </c>
      <c r="L13" s="25" t="s">
        <v>26</v>
      </c>
      <c r="M13" s="25" t="s">
        <v>27</v>
      </c>
      <c r="N13" s="25" t="s">
        <v>28</v>
      </c>
      <c r="O13" s="27" t="s">
        <v>29</v>
      </c>
      <c r="P13" s="28"/>
    </row>
    <row r="14" spans="1:16" ht="48" customHeight="1" x14ac:dyDescent="0.25">
      <c r="A14" s="25"/>
      <c r="B14" s="26"/>
      <c r="C14" s="19" t="s">
        <v>31</v>
      </c>
      <c r="D14" s="31"/>
      <c r="E14" s="33"/>
      <c r="F14" s="25"/>
      <c r="G14" s="25"/>
      <c r="H14" s="25"/>
      <c r="I14" s="26"/>
      <c r="J14" s="25"/>
      <c r="K14" s="26"/>
      <c r="L14" s="26"/>
      <c r="M14" s="26"/>
      <c r="N14" s="26"/>
      <c r="O14" s="18" t="s">
        <v>30</v>
      </c>
      <c r="P14" s="18" t="s">
        <v>37</v>
      </c>
    </row>
    <row r="15" spans="1:16" ht="30" x14ac:dyDescent="0.25">
      <c r="A15" s="1">
        <v>1</v>
      </c>
      <c r="B15" s="16" t="s">
        <v>16</v>
      </c>
      <c r="C15" s="8" t="s">
        <v>49</v>
      </c>
      <c r="D15" s="1" t="s">
        <v>50</v>
      </c>
      <c r="E15" s="2" t="s">
        <v>32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21" si="0">A15+1</f>
        <v>2</v>
      </c>
      <c r="B16" s="16" t="s">
        <v>16</v>
      </c>
      <c r="C16" s="9" t="s">
        <v>51</v>
      </c>
      <c r="D16" s="1" t="s">
        <v>52</v>
      </c>
      <c r="E16" s="2" t="s">
        <v>32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3</v>
      </c>
      <c r="B17" s="16" t="s">
        <v>16</v>
      </c>
      <c r="C17" s="9" t="s">
        <v>53</v>
      </c>
      <c r="D17" s="1" t="s">
        <v>54</v>
      </c>
      <c r="E17" s="2" t="s">
        <v>32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 x14ac:dyDescent="0.25">
      <c r="A18" s="1">
        <f t="shared" si="0"/>
        <v>4</v>
      </c>
      <c r="B18" s="16" t="s">
        <v>16</v>
      </c>
      <c r="C18" s="9" t="s">
        <v>42</v>
      </c>
      <c r="D18" s="1" t="s">
        <v>17</v>
      </c>
      <c r="E18" s="2" t="s">
        <v>32</v>
      </c>
      <c r="F18" s="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 x14ac:dyDescent="0.25">
      <c r="A19" s="1">
        <f t="shared" si="0"/>
        <v>5</v>
      </c>
      <c r="B19" s="16" t="s">
        <v>16</v>
      </c>
      <c r="C19" s="9" t="s">
        <v>43</v>
      </c>
      <c r="D19" s="1" t="s">
        <v>18</v>
      </c>
      <c r="E19" s="2" t="s">
        <v>32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 x14ac:dyDescent="0.25">
      <c r="A20" s="1">
        <f t="shared" si="0"/>
        <v>6</v>
      </c>
      <c r="B20" s="2" t="s">
        <v>7</v>
      </c>
      <c r="C20" s="8" t="s">
        <v>55</v>
      </c>
      <c r="D20" s="1" t="s">
        <v>0</v>
      </c>
      <c r="E20" s="2" t="s">
        <v>32</v>
      </c>
      <c r="F20" s="15">
        <v>8025</v>
      </c>
      <c r="G20" s="15">
        <v>100.32</v>
      </c>
      <c r="H20" s="15">
        <v>5001</v>
      </c>
      <c r="I20" s="15"/>
      <c r="J20" s="15">
        <v>0</v>
      </c>
      <c r="K20" s="15"/>
      <c r="L20" s="15">
        <f>SUM(F20:K20)</f>
        <v>13126.32</v>
      </c>
      <c r="M20" s="15">
        <f>390.03+431.71</f>
        <v>821.74</v>
      </c>
      <c r="N20" s="15">
        <f>+L20-M20</f>
        <v>12304.58</v>
      </c>
      <c r="O20" s="15"/>
      <c r="P20" s="15"/>
    </row>
    <row r="21" spans="1:16" ht="30" customHeight="1" x14ac:dyDescent="0.25">
      <c r="A21" s="1">
        <f t="shared" si="0"/>
        <v>7</v>
      </c>
      <c r="B21" s="2" t="s">
        <v>7</v>
      </c>
      <c r="C21" s="8" t="s">
        <v>6</v>
      </c>
      <c r="D21" s="1" t="s">
        <v>38</v>
      </c>
      <c r="E21" s="2" t="s">
        <v>32</v>
      </c>
      <c r="F21" s="15">
        <f>10966+767.62</f>
        <v>11733.62</v>
      </c>
      <c r="G21" s="23">
        <v>928.92</v>
      </c>
      <c r="H21" s="23">
        <v>2081.34</v>
      </c>
      <c r="I21" s="15"/>
      <c r="J21" s="15">
        <v>375</v>
      </c>
      <c r="K21" s="15"/>
      <c r="L21" s="15">
        <f t="shared" ref="L21:L30" si="1">SUM(F21:K21)</f>
        <v>15118.880000000001</v>
      </c>
      <c r="M21" s="15">
        <f>636.4+480.32</f>
        <v>1116.72</v>
      </c>
      <c r="N21" s="15">
        <f>+L21-M21</f>
        <v>14002.160000000002</v>
      </c>
      <c r="O21" s="15"/>
      <c r="P21" s="15"/>
    </row>
    <row r="22" spans="1:16" ht="30" customHeight="1" x14ac:dyDescent="0.25">
      <c r="A22" s="1">
        <f>+A21+1</f>
        <v>8</v>
      </c>
      <c r="B22" s="2" t="s">
        <v>7</v>
      </c>
      <c r="C22" s="8" t="s">
        <v>58</v>
      </c>
      <c r="D22" s="8" t="s">
        <v>39</v>
      </c>
      <c r="E22" s="2" t="s">
        <v>32</v>
      </c>
      <c r="F22" s="15">
        <v>8025</v>
      </c>
      <c r="G22" s="15">
        <v>200.64</v>
      </c>
      <c r="H22" s="15">
        <v>2514.7800000000002</v>
      </c>
      <c r="I22" s="15"/>
      <c r="J22" s="15"/>
      <c r="K22" s="15"/>
      <c r="L22" s="15">
        <f t="shared" si="1"/>
        <v>10740.42</v>
      </c>
      <c r="M22" s="15">
        <f>141.65+387.61+307.55</f>
        <v>836.81</v>
      </c>
      <c r="N22" s="15">
        <f t="shared" ref="N22:N30" si="2">+L22-M22</f>
        <v>9903.61</v>
      </c>
      <c r="O22" s="24"/>
      <c r="P22" s="15"/>
    </row>
    <row r="23" spans="1:16" ht="30" customHeight="1" x14ac:dyDescent="0.25">
      <c r="A23" s="1">
        <f t="shared" ref="A23:A32" si="3">+A22+1</f>
        <v>9</v>
      </c>
      <c r="B23" s="2" t="s">
        <v>7</v>
      </c>
      <c r="C23" s="8" t="s">
        <v>9</v>
      </c>
      <c r="D23" s="1" t="s">
        <v>2</v>
      </c>
      <c r="E23" s="2" t="s">
        <v>32</v>
      </c>
      <c r="F23" s="15">
        <f>4243+297</f>
        <v>4540</v>
      </c>
      <c r="G23" s="15">
        <v>85.14</v>
      </c>
      <c r="H23" s="15">
        <v>1793.6</v>
      </c>
      <c r="I23" s="15">
        <f>500</f>
        <v>500</v>
      </c>
      <c r="J23" s="15">
        <v>0</v>
      </c>
      <c r="K23" s="15"/>
      <c r="L23" s="15">
        <f t="shared" si="1"/>
        <v>6918.74</v>
      </c>
      <c r="M23" s="15">
        <f>219.28+91.84 +130.66</f>
        <v>441.78</v>
      </c>
      <c r="N23" s="15">
        <f t="shared" si="2"/>
        <v>6476.96</v>
      </c>
      <c r="O23" s="15"/>
      <c r="P23" s="15"/>
    </row>
    <row r="24" spans="1:16" ht="30" customHeight="1" x14ac:dyDescent="0.25">
      <c r="A24" s="1">
        <f t="shared" si="3"/>
        <v>10</v>
      </c>
      <c r="B24" s="2" t="s">
        <v>7</v>
      </c>
      <c r="C24" s="8" t="s">
        <v>40</v>
      </c>
      <c r="D24" s="1" t="s">
        <v>3</v>
      </c>
      <c r="E24" s="2" t="s">
        <v>32</v>
      </c>
      <c r="F24" s="15">
        <v>4000</v>
      </c>
      <c r="G24" s="15">
        <v>616.61</v>
      </c>
      <c r="H24" s="15">
        <v>1550</v>
      </c>
      <c r="I24" s="15"/>
      <c r="J24" s="15">
        <v>0</v>
      </c>
      <c r="K24" s="15"/>
      <c r="L24" s="15">
        <f t="shared" si="1"/>
        <v>6166.61</v>
      </c>
      <c r="M24" s="15">
        <f>218.15+76.89+67.47</f>
        <v>362.51</v>
      </c>
      <c r="N24" s="15">
        <f t="shared" si="2"/>
        <v>5804.0999999999995</v>
      </c>
      <c r="O24" s="15"/>
      <c r="P24" s="15"/>
    </row>
    <row r="25" spans="1:16" ht="30" customHeight="1" x14ac:dyDescent="0.25">
      <c r="A25" s="1">
        <f t="shared" si="3"/>
        <v>11</v>
      </c>
      <c r="B25" s="2" t="s">
        <v>7</v>
      </c>
      <c r="C25" s="8" t="s">
        <v>41</v>
      </c>
      <c r="D25" s="1" t="s">
        <v>1</v>
      </c>
      <c r="E25" s="2" t="s">
        <v>32</v>
      </c>
      <c r="F25" s="15">
        <v>4000</v>
      </c>
      <c r="G25" s="15"/>
      <c r="H25" s="15">
        <v>1550</v>
      </c>
      <c r="I25" s="15"/>
      <c r="J25" s="15">
        <v>0</v>
      </c>
      <c r="K25" s="15"/>
      <c r="L25" s="15">
        <f t="shared" si="1"/>
        <v>5550</v>
      </c>
      <c r="M25" s="15">
        <f>194.41+67.77</f>
        <v>262.18</v>
      </c>
      <c r="N25" s="15">
        <f t="shared" si="2"/>
        <v>5287.82</v>
      </c>
      <c r="O25" s="15"/>
      <c r="P25" s="15"/>
    </row>
    <row r="26" spans="1:16" ht="30" customHeight="1" x14ac:dyDescent="0.25">
      <c r="A26" s="1">
        <f t="shared" si="3"/>
        <v>12</v>
      </c>
      <c r="B26" s="2" t="s">
        <v>7</v>
      </c>
      <c r="C26" s="8" t="s">
        <v>10</v>
      </c>
      <c r="D26" s="1" t="s">
        <v>48</v>
      </c>
      <c r="E26" s="2" t="s">
        <v>32</v>
      </c>
      <c r="F26" s="15">
        <f>5697+398.79</f>
        <v>6095.79</v>
      </c>
      <c r="G26" s="15">
        <v>2838.45</v>
      </c>
      <c r="H26" s="15">
        <v>2115.83</v>
      </c>
      <c r="I26" s="15">
        <f>500</f>
        <v>500</v>
      </c>
      <c r="J26" s="15"/>
      <c r="K26" s="15"/>
      <c r="L26" s="15">
        <f>SUM(F26:K26)</f>
        <v>11550.07</v>
      </c>
      <c r="M26" s="15">
        <f>330.62+219.79</f>
        <v>550.41</v>
      </c>
      <c r="N26" s="15">
        <f t="shared" si="2"/>
        <v>10999.66</v>
      </c>
      <c r="O26" s="15"/>
      <c r="P26" s="15"/>
    </row>
    <row r="27" spans="1:16" ht="30" customHeight="1" x14ac:dyDescent="0.25">
      <c r="A27" s="1">
        <f t="shared" si="3"/>
        <v>13</v>
      </c>
      <c r="B27" s="2" t="s">
        <v>7</v>
      </c>
      <c r="C27" s="8" t="s">
        <v>11</v>
      </c>
      <c r="D27" s="1" t="s">
        <v>4</v>
      </c>
      <c r="E27" s="2" t="s">
        <v>32</v>
      </c>
      <c r="F27" s="15">
        <f>7392+517.44</f>
        <v>7909.4400000000005</v>
      </c>
      <c r="G27" s="15">
        <v>650.86</v>
      </c>
      <c r="H27" s="15">
        <v>2708.38</v>
      </c>
      <c r="I27" s="15">
        <f>500</f>
        <v>500</v>
      </c>
      <c r="J27" s="15"/>
      <c r="K27" s="15"/>
      <c r="L27" s="15">
        <f t="shared" si="1"/>
        <v>11768.68</v>
      </c>
      <c r="M27" s="15">
        <f>428.98+335.45</f>
        <v>764.43000000000006</v>
      </c>
      <c r="N27" s="15">
        <f t="shared" si="2"/>
        <v>11004.25</v>
      </c>
      <c r="O27" s="15"/>
      <c r="P27" s="15"/>
    </row>
    <row r="28" spans="1:16" ht="30" customHeight="1" x14ac:dyDescent="0.25">
      <c r="A28" s="1">
        <f t="shared" si="3"/>
        <v>14</v>
      </c>
      <c r="B28" s="2" t="s">
        <v>7</v>
      </c>
      <c r="C28" s="8" t="s">
        <v>46</v>
      </c>
      <c r="D28" s="1" t="s">
        <v>47</v>
      </c>
      <c r="E28" s="2" t="s">
        <v>32</v>
      </c>
      <c r="F28" s="15">
        <f>6750+472.5</f>
        <v>7222.5</v>
      </c>
      <c r="G28" s="15"/>
      <c r="H28" s="15">
        <v>548.9</v>
      </c>
      <c r="I28" s="15"/>
      <c r="J28" s="15"/>
      <c r="K28" s="15"/>
      <c r="L28" s="15">
        <f t="shared" si="1"/>
        <v>7771.4</v>
      </c>
      <c r="M28" s="15">
        <f>348.85+171.13</f>
        <v>519.98</v>
      </c>
      <c r="N28" s="15">
        <f t="shared" si="2"/>
        <v>7251.42</v>
      </c>
      <c r="O28" s="15"/>
      <c r="P28" s="15"/>
    </row>
    <row r="29" spans="1:16" ht="30" customHeight="1" x14ac:dyDescent="0.25">
      <c r="A29" s="1">
        <f t="shared" si="3"/>
        <v>15</v>
      </c>
      <c r="B29" s="2" t="s">
        <v>7</v>
      </c>
      <c r="C29" s="8" t="s">
        <v>12</v>
      </c>
      <c r="D29" s="1" t="s">
        <v>5</v>
      </c>
      <c r="E29" s="2" t="s">
        <v>32</v>
      </c>
      <c r="F29" s="15">
        <v>4000</v>
      </c>
      <c r="G29" s="15">
        <v>799.93</v>
      </c>
      <c r="H29" s="15">
        <v>1550</v>
      </c>
      <c r="I29" s="15"/>
      <c r="J29" s="15"/>
      <c r="K29" s="15"/>
      <c r="L29" s="15">
        <f t="shared" si="1"/>
        <v>6349.93</v>
      </c>
      <c r="M29" s="15">
        <f>217.75+66.95</f>
        <v>284.7</v>
      </c>
      <c r="N29" s="15">
        <f t="shared" si="2"/>
        <v>6065.2300000000005</v>
      </c>
      <c r="O29" s="15"/>
      <c r="P29" s="15"/>
    </row>
    <row r="30" spans="1:16" ht="30" customHeight="1" x14ac:dyDescent="0.25">
      <c r="A30" s="1">
        <f t="shared" si="3"/>
        <v>16</v>
      </c>
      <c r="B30" s="2">
        <v>11</v>
      </c>
      <c r="C30" s="8" t="s">
        <v>44</v>
      </c>
      <c r="D30" s="1" t="s">
        <v>45</v>
      </c>
      <c r="E30" s="2" t="s">
        <v>32</v>
      </c>
      <c r="F30" s="15">
        <v>4000</v>
      </c>
      <c r="G30" s="15">
        <v>612.45000000000005</v>
      </c>
      <c r="H30" s="15">
        <v>1549</v>
      </c>
      <c r="I30" s="15"/>
      <c r="J30" s="15"/>
      <c r="K30" s="15"/>
      <c r="L30" s="15">
        <f t="shared" si="1"/>
        <v>6161.45</v>
      </c>
      <c r="M30" s="15">
        <f>217.75+66.95</f>
        <v>284.7</v>
      </c>
      <c r="N30" s="15">
        <f t="shared" si="2"/>
        <v>5876.75</v>
      </c>
      <c r="O30" s="15"/>
      <c r="P30" s="15"/>
    </row>
    <row r="31" spans="1:16" ht="30" customHeight="1" x14ac:dyDescent="0.25">
      <c r="A31" s="1">
        <f t="shared" si="3"/>
        <v>17</v>
      </c>
      <c r="B31" s="2">
        <v>184</v>
      </c>
      <c r="C31" s="8" t="s">
        <v>56</v>
      </c>
      <c r="D31" s="8" t="s">
        <v>13</v>
      </c>
      <c r="E31" s="2" t="s">
        <v>32</v>
      </c>
      <c r="F31" s="15">
        <v>4500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customHeight="1" x14ac:dyDescent="0.25">
      <c r="A32" s="1">
        <f t="shared" si="3"/>
        <v>18</v>
      </c>
      <c r="B32" s="2">
        <v>183</v>
      </c>
      <c r="C32" s="8" t="s">
        <v>69</v>
      </c>
      <c r="D32" s="1" t="s">
        <v>57</v>
      </c>
      <c r="E32" s="2" t="s">
        <v>32</v>
      </c>
      <c r="F32" s="15">
        <v>8960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4" spans="1:16" ht="15" customHeight="1" x14ac:dyDescent="0.25"/>
    <row r="36" spans="1:16" s="6" customFormat="1" ht="0.95" customHeight="1" x14ac:dyDescent="0.25">
      <c r="A36"/>
      <c r="B36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0"/>
    </row>
    <row r="37" spans="1:16" x14ac:dyDescent="0.25">
      <c r="C37" s="7" t="s">
        <v>14</v>
      </c>
      <c r="D37" s="4"/>
      <c r="E37" s="4"/>
      <c r="F37" s="4"/>
      <c r="G37" s="4"/>
      <c r="H37" s="4"/>
      <c r="I37" s="4"/>
      <c r="J37" s="4"/>
      <c r="K37" s="4"/>
      <c r="L37" s="4"/>
      <c r="M37" s="22"/>
      <c r="N37" s="4"/>
      <c r="O37" s="4"/>
    </row>
    <row r="38" spans="1:16" x14ac:dyDescent="0.25">
      <c r="B38" s="5"/>
      <c r="C38" s="7" t="s">
        <v>59</v>
      </c>
      <c r="D38" s="4"/>
      <c r="E38" s="4"/>
      <c r="F38" s="4"/>
      <c r="G38" s="4"/>
      <c r="H38" s="4"/>
      <c r="I38" s="4"/>
      <c r="J38" s="4"/>
      <c r="K38" s="4"/>
      <c r="L38" s="4"/>
      <c r="M38" s="22"/>
      <c r="N38" s="4"/>
      <c r="O38" s="4"/>
    </row>
  </sheetData>
  <mergeCells count="22">
    <mergeCell ref="O13:P13"/>
    <mergeCell ref="I13:I14"/>
    <mergeCell ref="J13:J14"/>
    <mergeCell ref="K13:K14"/>
    <mergeCell ref="L13:L14"/>
    <mergeCell ref="M13:M14"/>
    <mergeCell ref="N13:N14"/>
    <mergeCell ref="A7:H7"/>
    <mergeCell ref="A8:H8"/>
    <mergeCell ref="A13:A14"/>
    <mergeCell ref="B13:B14"/>
    <mergeCell ref="D13:D14"/>
    <mergeCell ref="E13:E14"/>
    <mergeCell ref="F13:F14"/>
    <mergeCell ref="G13:G14"/>
    <mergeCell ref="H13:H14"/>
    <mergeCell ref="A6:H6"/>
    <mergeCell ref="A1:H1"/>
    <mergeCell ref="A2:H2"/>
    <mergeCell ref="A3:H3"/>
    <mergeCell ref="A4:H4"/>
    <mergeCell ref="A5:H5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F087-0E43-4E02-B26F-84B1AACC928E}">
  <dimension ref="A1:P39"/>
  <sheetViews>
    <sheetView showGridLines="0" zoomScale="85" zoomScaleNormal="85" workbookViewId="0">
      <selection activeCell="A11" sqref="A11"/>
    </sheetView>
  </sheetViews>
  <sheetFormatPr baseColWidth="10" defaultRowHeight="15" x14ac:dyDescent="0.25"/>
  <cols>
    <col min="1" max="1" width="6.710937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5.75" x14ac:dyDescent="0.25">
      <c r="A1" s="29" t="s">
        <v>61</v>
      </c>
      <c r="B1" s="29"/>
      <c r="C1" s="29"/>
      <c r="D1" s="29"/>
      <c r="E1" s="29"/>
      <c r="F1" s="29"/>
      <c r="G1" s="29"/>
      <c r="H1" s="29"/>
    </row>
    <row r="2" spans="1:16" ht="15.75" x14ac:dyDescent="0.25">
      <c r="A2" s="29" t="s">
        <v>62</v>
      </c>
      <c r="B2" s="29"/>
      <c r="C2" s="29"/>
      <c r="D2" s="29"/>
      <c r="E2" s="29"/>
      <c r="F2" s="29"/>
      <c r="G2" s="29"/>
      <c r="H2" s="29"/>
    </row>
    <row r="3" spans="1:16" ht="15.75" customHeight="1" x14ac:dyDescent="0.25">
      <c r="A3" s="30" t="s">
        <v>63</v>
      </c>
      <c r="B3" s="30"/>
      <c r="C3" s="30"/>
      <c r="D3" s="30"/>
      <c r="E3" s="30"/>
      <c r="F3" s="30"/>
      <c r="G3" s="30"/>
      <c r="H3" s="30"/>
    </row>
    <row r="4" spans="1:16" ht="15.75" x14ac:dyDescent="0.25">
      <c r="A4" s="29" t="s">
        <v>64</v>
      </c>
      <c r="B4" s="29"/>
      <c r="C4" s="29"/>
      <c r="D4" s="29"/>
      <c r="E4" s="29"/>
      <c r="F4" s="29"/>
      <c r="G4" s="29"/>
      <c r="H4" s="29"/>
    </row>
    <row r="5" spans="1:16" ht="15.75" x14ac:dyDescent="0.25">
      <c r="A5" s="29" t="s">
        <v>65</v>
      </c>
      <c r="B5" s="29"/>
      <c r="C5" s="29"/>
      <c r="D5" s="29"/>
      <c r="E5" s="29"/>
      <c r="F5" s="29"/>
      <c r="G5" s="29"/>
      <c r="H5" s="29"/>
    </row>
    <row r="6" spans="1:16" ht="15.75" x14ac:dyDescent="0.25">
      <c r="A6" s="29" t="s">
        <v>66</v>
      </c>
      <c r="B6" s="29"/>
      <c r="C6" s="29"/>
      <c r="D6" s="29"/>
      <c r="E6" s="29"/>
      <c r="F6" s="29"/>
      <c r="G6" s="29"/>
      <c r="H6" s="29"/>
    </row>
    <row r="7" spans="1:16" ht="15.75" x14ac:dyDescent="0.25">
      <c r="A7" s="29" t="s">
        <v>78</v>
      </c>
      <c r="B7" s="29"/>
      <c r="C7" s="29"/>
      <c r="D7" s="29"/>
      <c r="E7" s="29"/>
      <c r="F7" s="29"/>
      <c r="G7" s="29"/>
      <c r="H7" s="29"/>
    </row>
    <row r="8" spans="1:16" ht="15.75" x14ac:dyDescent="0.25">
      <c r="A8" s="29" t="s">
        <v>77</v>
      </c>
      <c r="B8" s="29"/>
      <c r="C8" s="29"/>
      <c r="D8" s="29"/>
      <c r="E8" s="29"/>
      <c r="F8" s="29"/>
      <c r="G8" s="29"/>
      <c r="H8" s="29"/>
    </row>
    <row r="9" spans="1:16" ht="18.75" x14ac:dyDescent="0.3">
      <c r="A9" s="10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21"/>
      <c r="N9" s="10"/>
      <c r="O9" s="10"/>
      <c r="P9" s="10"/>
    </row>
    <row r="10" spans="1:16" ht="18.75" x14ac:dyDescent="0.3">
      <c r="A10" s="10" t="s">
        <v>79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21"/>
      <c r="N10" s="10"/>
      <c r="O10" s="10"/>
      <c r="P10" s="10"/>
    </row>
    <row r="11" spans="1:16" ht="15.75" x14ac:dyDescent="0.25">
      <c r="A11" s="17" t="s">
        <v>15</v>
      </c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22"/>
      <c r="N11" s="4"/>
      <c r="O11" s="4"/>
      <c r="P11" s="4"/>
    </row>
    <row r="12" spans="1:16" ht="15" customHeight="1" x14ac:dyDescent="0.25">
      <c r="A12" s="14"/>
      <c r="B12" s="4"/>
      <c r="C12" s="4"/>
      <c r="D12" s="12"/>
      <c r="E12" s="4"/>
      <c r="F12" s="4"/>
      <c r="G12" s="4"/>
      <c r="H12" s="4"/>
      <c r="I12" s="4"/>
      <c r="J12" s="4"/>
      <c r="K12" s="4"/>
      <c r="L12" s="4"/>
      <c r="M12" s="22"/>
    </row>
    <row r="13" spans="1:16" ht="30" customHeight="1" x14ac:dyDescent="0.25">
      <c r="A13" s="25" t="s">
        <v>19</v>
      </c>
      <c r="B13" s="26" t="s">
        <v>20</v>
      </c>
      <c r="C13" s="19" t="s">
        <v>21</v>
      </c>
      <c r="D13" s="31" t="s">
        <v>22</v>
      </c>
      <c r="E13" s="32" t="s">
        <v>23</v>
      </c>
      <c r="F13" s="25" t="s">
        <v>33</v>
      </c>
      <c r="G13" s="25" t="s">
        <v>34</v>
      </c>
      <c r="H13" s="25" t="s">
        <v>36</v>
      </c>
      <c r="I13" s="25" t="s">
        <v>35</v>
      </c>
      <c r="J13" s="25" t="s">
        <v>24</v>
      </c>
      <c r="K13" s="25" t="s">
        <v>25</v>
      </c>
      <c r="L13" s="25" t="s">
        <v>26</v>
      </c>
      <c r="M13" s="25" t="s">
        <v>27</v>
      </c>
      <c r="N13" s="25" t="s">
        <v>28</v>
      </c>
      <c r="O13" s="27" t="s">
        <v>29</v>
      </c>
      <c r="P13" s="28"/>
    </row>
    <row r="14" spans="1:16" ht="48" customHeight="1" x14ac:dyDescent="0.25">
      <c r="A14" s="25"/>
      <c r="B14" s="26"/>
      <c r="C14" s="19" t="s">
        <v>31</v>
      </c>
      <c r="D14" s="31"/>
      <c r="E14" s="33"/>
      <c r="F14" s="25"/>
      <c r="G14" s="25"/>
      <c r="H14" s="25"/>
      <c r="I14" s="26"/>
      <c r="J14" s="25"/>
      <c r="K14" s="26"/>
      <c r="L14" s="26"/>
      <c r="M14" s="26"/>
      <c r="N14" s="26"/>
      <c r="O14" s="18" t="s">
        <v>30</v>
      </c>
      <c r="P14" s="18" t="s">
        <v>37</v>
      </c>
    </row>
    <row r="15" spans="1:16" ht="30" x14ac:dyDescent="0.25">
      <c r="A15" s="1">
        <v>1</v>
      </c>
      <c r="B15" s="16" t="s">
        <v>16</v>
      </c>
      <c r="C15" s="8" t="s">
        <v>49</v>
      </c>
      <c r="D15" s="1" t="s">
        <v>50</v>
      </c>
      <c r="E15" s="2" t="s">
        <v>32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33" si="0">A15+1</f>
        <v>2</v>
      </c>
      <c r="B16" s="16" t="s">
        <v>16</v>
      </c>
      <c r="C16" s="9" t="s">
        <v>51</v>
      </c>
      <c r="D16" s="1" t="s">
        <v>52</v>
      </c>
      <c r="E16" s="2" t="s">
        <v>32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3</v>
      </c>
      <c r="B17" s="16" t="s">
        <v>16</v>
      </c>
      <c r="C17" s="9" t="s">
        <v>53</v>
      </c>
      <c r="D17" s="1" t="s">
        <v>54</v>
      </c>
      <c r="E17" s="2" t="s">
        <v>32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 x14ac:dyDescent="0.25">
      <c r="A18" s="1">
        <f t="shared" si="0"/>
        <v>4</v>
      </c>
      <c r="B18" s="16" t="s">
        <v>16</v>
      </c>
      <c r="C18" s="9" t="s">
        <v>42</v>
      </c>
      <c r="D18" s="1" t="s">
        <v>17</v>
      </c>
      <c r="E18" s="2" t="s">
        <v>32</v>
      </c>
      <c r="F18" s="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 x14ac:dyDescent="0.25">
      <c r="A19" s="1">
        <f t="shared" si="0"/>
        <v>5</v>
      </c>
      <c r="B19" s="16" t="s">
        <v>16</v>
      </c>
      <c r="C19" s="9" t="s">
        <v>43</v>
      </c>
      <c r="D19" s="1" t="s">
        <v>18</v>
      </c>
      <c r="E19" s="2" t="s">
        <v>32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 x14ac:dyDescent="0.25">
      <c r="A20" s="1">
        <f t="shared" si="0"/>
        <v>6</v>
      </c>
      <c r="B20" s="2" t="s">
        <v>7</v>
      </c>
      <c r="C20" s="8" t="s">
        <v>55</v>
      </c>
      <c r="D20" s="1" t="s">
        <v>0</v>
      </c>
      <c r="E20" s="2" t="s">
        <v>32</v>
      </c>
      <c r="F20" s="15">
        <v>8025</v>
      </c>
      <c r="G20" s="15">
        <v>50.16</v>
      </c>
      <c r="H20" s="15">
        <v>5001</v>
      </c>
      <c r="I20" s="15"/>
      <c r="J20" s="15">
        <v>0</v>
      </c>
      <c r="K20" s="15"/>
      <c r="L20" s="15">
        <f>SUM(F20:K20)</f>
        <v>13076.16</v>
      </c>
      <c r="M20" s="15">
        <f>390.03+431.71</f>
        <v>821.74</v>
      </c>
      <c r="N20" s="15">
        <f>+L20-M20</f>
        <v>12254.42</v>
      </c>
      <c r="O20" s="15"/>
      <c r="P20" s="15"/>
    </row>
    <row r="21" spans="1:16" ht="30" customHeight="1" x14ac:dyDescent="0.25">
      <c r="A21" s="1">
        <f t="shared" si="0"/>
        <v>7</v>
      </c>
      <c r="B21" s="2" t="s">
        <v>7</v>
      </c>
      <c r="C21" s="8" t="s">
        <v>6</v>
      </c>
      <c r="D21" s="1" t="s">
        <v>38</v>
      </c>
      <c r="E21" s="2" t="s">
        <v>32</v>
      </c>
      <c r="F21" s="15">
        <f>10966+767.62</f>
        <v>11733.62</v>
      </c>
      <c r="G21" s="23">
        <v>635.58000000000004</v>
      </c>
      <c r="H21" s="23">
        <v>2081.34</v>
      </c>
      <c r="I21" s="15"/>
      <c r="J21" s="15">
        <v>375</v>
      </c>
      <c r="K21" s="15"/>
      <c r="L21" s="15">
        <f t="shared" ref="L21:L31" si="1">SUM(F21:K21)</f>
        <v>14825.54</v>
      </c>
      <c r="M21" s="15">
        <f>597.43+480.32</f>
        <v>1077.75</v>
      </c>
      <c r="N21" s="15">
        <f>+L21-M21</f>
        <v>13747.79</v>
      </c>
      <c r="O21" s="15"/>
      <c r="P21" s="15"/>
    </row>
    <row r="22" spans="1:16" ht="30" customHeight="1" x14ac:dyDescent="0.25">
      <c r="A22" s="1">
        <f t="shared" si="0"/>
        <v>8</v>
      </c>
      <c r="B22" s="2" t="s">
        <v>7</v>
      </c>
      <c r="C22" s="8" t="s">
        <v>75</v>
      </c>
      <c r="D22" s="1" t="s">
        <v>76</v>
      </c>
      <c r="E22" s="2" t="s">
        <v>32</v>
      </c>
      <c r="F22" s="15">
        <v>7750</v>
      </c>
      <c r="G22" s="23">
        <v>371.34</v>
      </c>
      <c r="H22" s="23">
        <v>834.85</v>
      </c>
      <c r="I22" s="15"/>
      <c r="J22" s="15"/>
      <c r="K22" s="15"/>
      <c r="L22" s="15">
        <f t="shared" si="1"/>
        <v>8956.19</v>
      </c>
      <c r="M22" s="15">
        <f>392.26+210.52</f>
        <v>602.78</v>
      </c>
      <c r="N22" s="15">
        <f>+L22-M22</f>
        <v>8353.41</v>
      </c>
      <c r="O22" s="15"/>
      <c r="P22" s="15"/>
    </row>
    <row r="23" spans="1:16" ht="30" customHeight="1" x14ac:dyDescent="0.25">
      <c r="A23" s="1">
        <f t="shared" si="0"/>
        <v>9</v>
      </c>
      <c r="B23" s="2" t="s">
        <v>7</v>
      </c>
      <c r="C23" s="8" t="s">
        <v>58</v>
      </c>
      <c r="D23" s="8" t="s">
        <v>39</v>
      </c>
      <c r="E23" s="2" t="s">
        <v>32</v>
      </c>
      <c r="F23" s="15">
        <v>8025</v>
      </c>
      <c r="G23" s="15">
        <v>50.16</v>
      </c>
      <c r="H23" s="15">
        <v>2514.7800000000002</v>
      </c>
      <c r="I23" s="15"/>
      <c r="J23" s="15"/>
      <c r="K23" s="15"/>
      <c r="L23" s="15">
        <f t="shared" si="1"/>
        <v>10589.94</v>
      </c>
      <c r="M23" s="15">
        <f>390.03+141.65+307.55</f>
        <v>839.23</v>
      </c>
      <c r="N23" s="15">
        <f t="shared" ref="N23:N31" si="2">+L23-M23</f>
        <v>9750.7100000000009</v>
      </c>
      <c r="O23" s="24"/>
      <c r="P23" s="15"/>
    </row>
    <row r="24" spans="1:16" ht="30" customHeight="1" x14ac:dyDescent="0.25">
      <c r="A24" s="1">
        <f t="shared" si="0"/>
        <v>10</v>
      </c>
      <c r="B24" s="2" t="s">
        <v>7</v>
      </c>
      <c r="C24" s="8" t="s">
        <v>9</v>
      </c>
      <c r="D24" s="1" t="s">
        <v>2</v>
      </c>
      <c r="E24" s="2" t="s">
        <v>32</v>
      </c>
      <c r="F24" s="15">
        <f>4243+297</f>
        <v>4540</v>
      </c>
      <c r="G24" s="15">
        <v>28.38</v>
      </c>
      <c r="H24" s="15">
        <v>1793.6</v>
      </c>
      <c r="I24" s="15">
        <f>500</f>
        <v>500</v>
      </c>
      <c r="J24" s="15">
        <v>0</v>
      </c>
      <c r="K24" s="15"/>
      <c r="L24" s="15">
        <f t="shared" si="1"/>
        <v>6861.98</v>
      </c>
      <c r="M24" s="15">
        <f>220.65+91.84+130.66</f>
        <v>443.15</v>
      </c>
      <c r="N24" s="15">
        <f t="shared" si="2"/>
        <v>6418.83</v>
      </c>
      <c r="O24" s="15"/>
      <c r="P24" s="15"/>
    </row>
    <row r="25" spans="1:16" ht="30" customHeight="1" x14ac:dyDescent="0.25">
      <c r="A25" s="1">
        <f t="shared" si="0"/>
        <v>11</v>
      </c>
      <c r="B25" s="2" t="s">
        <v>7</v>
      </c>
      <c r="C25" s="8" t="s">
        <v>40</v>
      </c>
      <c r="D25" s="1" t="s">
        <v>3</v>
      </c>
      <c r="E25" s="2" t="s">
        <v>32</v>
      </c>
      <c r="F25" s="15">
        <v>4000</v>
      </c>
      <c r="G25" s="15">
        <v>216.65</v>
      </c>
      <c r="H25" s="15">
        <v>1550</v>
      </c>
      <c r="I25" s="15"/>
      <c r="J25" s="15">
        <v>0</v>
      </c>
      <c r="K25" s="15"/>
      <c r="L25" s="15">
        <f t="shared" si="1"/>
        <v>5766.65</v>
      </c>
      <c r="M25" s="15">
        <f>203.66+74.59+67.47</f>
        <v>345.72</v>
      </c>
      <c r="N25" s="15">
        <f t="shared" si="2"/>
        <v>5420.9299999999994</v>
      </c>
      <c r="O25" s="15"/>
      <c r="P25" s="15"/>
    </row>
    <row r="26" spans="1:16" ht="30" customHeight="1" x14ac:dyDescent="0.25">
      <c r="A26" s="1">
        <f t="shared" si="0"/>
        <v>12</v>
      </c>
      <c r="B26" s="2" t="s">
        <v>7</v>
      </c>
      <c r="C26" s="8" t="s">
        <v>41</v>
      </c>
      <c r="D26" s="1" t="s">
        <v>1</v>
      </c>
      <c r="E26" s="2" t="s">
        <v>32</v>
      </c>
      <c r="F26" s="15">
        <v>4000</v>
      </c>
      <c r="G26" s="15">
        <v>25</v>
      </c>
      <c r="H26" s="15">
        <v>1550</v>
      </c>
      <c r="I26" s="15"/>
      <c r="J26" s="15">
        <v>0</v>
      </c>
      <c r="K26" s="15"/>
      <c r="L26" s="15">
        <f t="shared" si="1"/>
        <v>5575</v>
      </c>
      <c r="M26" s="15">
        <f>194.41+67.77</f>
        <v>262.18</v>
      </c>
      <c r="N26" s="15">
        <f t="shared" si="2"/>
        <v>5312.82</v>
      </c>
      <c r="O26" s="15"/>
      <c r="P26" s="15"/>
    </row>
    <row r="27" spans="1:16" ht="30" customHeight="1" x14ac:dyDescent="0.25">
      <c r="A27" s="1">
        <f t="shared" si="0"/>
        <v>13</v>
      </c>
      <c r="B27" s="2" t="s">
        <v>7</v>
      </c>
      <c r="C27" s="8" t="s">
        <v>10</v>
      </c>
      <c r="D27" s="1" t="s">
        <v>48</v>
      </c>
      <c r="E27" s="2" t="s">
        <v>32</v>
      </c>
      <c r="F27" s="15">
        <f>5697+398.79</f>
        <v>6095.79</v>
      </c>
      <c r="G27" s="15">
        <v>292.10000000000002</v>
      </c>
      <c r="H27" s="15">
        <v>2115.83</v>
      </c>
      <c r="I27" s="15">
        <f>500</f>
        <v>500</v>
      </c>
      <c r="J27" s="15"/>
      <c r="K27" s="15"/>
      <c r="L27" s="15">
        <f>SUM(F27:K27)</f>
        <v>9003.7200000000012</v>
      </c>
      <c r="M27" s="15">
        <f>308.54+219.79</f>
        <v>528.33000000000004</v>
      </c>
      <c r="N27" s="15">
        <f t="shared" si="2"/>
        <v>8475.3900000000012</v>
      </c>
      <c r="O27" s="15"/>
      <c r="P27" s="15"/>
    </row>
    <row r="28" spans="1:16" ht="30" customHeight="1" x14ac:dyDescent="0.25">
      <c r="A28" s="1">
        <f t="shared" si="0"/>
        <v>14</v>
      </c>
      <c r="B28" s="2" t="s">
        <v>7</v>
      </c>
      <c r="C28" s="8" t="s">
        <v>11</v>
      </c>
      <c r="D28" s="1" t="s">
        <v>4</v>
      </c>
      <c r="E28" s="2" t="s">
        <v>32</v>
      </c>
      <c r="F28" s="15">
        <f>7392+517.44</f>
        <v>7909.4400000000005</v>
      </c>
      <c r="G28" s="15">
        <v>428.41</v>
      </c>
      <c r="H28" s="15">
        <v>2708.38</v>
      </c>
      <c r="I28" s="15">
        <f>500</f>
        <v>500</v>
      </c>
      <c r="J28" s="15"/>
      <c r="K28" s="15"/>
      <c r="L28" s="15">
        <f t="shared" si="1"/>
        <v>11546.23</v>
      </c>
      <c r="M28" s="15">
        <f>402.72+335.45</f>
        <v>738.17000000000007</v>
      </c>
      <c r="N28" s="15">
        <f t="shared" si="2"/>
        <v>10808.06</v>
      </c>
      <c r="O28" s="15"/>
      <c r="P28" s="15"/>
    </row>
    <row r="29" spans="1:16" ht="30" customHeight="1" x14ac:dyDescent="0.25">
      <c r="A29" s="1">
        <f t="shared" si="0"/>
        <v>15</v>
      </c>
      <c r="B29" s="2" t="s">
        <v>7</v>
      </c>
      <c r="C29" s="8" t="s">
        <v>46</v>
      </c>
      <c r="D29" s="1" t="s">
        <v>47</v>
      </c>
      <c r="E29" s="2" t="s">
        <v>32</v>
      </c>
      <c r="F29" s="15">
        <f>6750+472.5</f>
        <v>7222.5</v>
      </c>
      <c r="G29" s="15">
        <v>240.76</v>
      </c>
      <c r="H29" s="15">
        <v>548.9</v>
      </c>
      <c r="I29" s="15"/>
      <c r="J29" s="15"/>
      <c r="K29" s="15"/>
      <c r="L29" s="15">
        <f t="shared" si="1"/>
        <v>8012.16</v>
      </c>
      <c r="M29" s="15">
        <f>360.48+171.13</f>
        <v>531.61</v>
      </c>
      <c r="N29" s="15">
        <f t="shared" si="2"/>
        <v>7480.55</v>
      </c>
      <c r="O29" s="15"/>
      <c r="P29" s="15"/>
    </row>
    <row r="30" spans="1:16" ht="30" customHeight="1" x14ac:dyDescent="0.25">
      <c r="A30" s="1">
        <f t="shared" si="0"/>
        <v>16</v>
      </c>
      <c r="B30" s="2" t="s">
        <v>7</v>
      </c>
      <c r="C30" s="8" t="s">
        <v>12</v>
      </c>
      <c r="D30" s="1" t="s">
        <v>5</v>
      </c>
      <c r="E30" s="2" t="s">
        <v>32</v>
      </c>
      <c r="F30" s="15">
        <v>4000</v>
      </c>
      <c r="G30" s="15">
        <v>191.65</v>
      </c>
      <c r="H30" s="15">
        <v>1550</v>
      </c>
      <c r="I30" s="15"/>
      <c r="J30" s="15"/>
      <c r="K30" s="15"/>
      <c r="L30" s="15">
        <f t="shared" si="1"/>
        <v>5741.65</v>
      </c>
      <c r="M30" s="15">
        <f>202.46+66.95</f>
        <v>269.41000000000003</v>
      </c>
      <c r="N30" s="15">
        <f t="shared" si="2"/>
        <v>5472.24</v>
      </c>
      <c r="O30" s="15"/>
      <c r="P30" s="15"/>
    </row>
    <row r="31" spans="1:16" ht="30" customHeight="1" x14ac:dyDescent="0.25">
      <c r="A31" s="1">
        <f t="shared" si="0"/>
        <v>17</v>
      </c>
      <c r="B31" s="2">
        <v>11</v>
      </c>
      <c r="C31" s="8" t="s">
        <v>44</v>
      </c>
      <c r="D31" s="1" t="s">
        <v>45</v>
      </c>
      <c r="E31" s="2" t="s">
        <v>32</v>
      </c>
      <c r="F31" s="15">
        <v>4000</v>
      </c>
      <c r="G31" s="15">
        <v>233.32</v>
      </c>
      <c r="H31" s="15">
        <v>1549</v>
      </c>
      <c r="I31" s="15"/>
      <c r="J31" s="15"/>
      <c r="K31" s="15"/>
      <c r="L31" s="15">
        <f t="shared" si="1"/>
        <v>5782.32</v>
      </c>
      <c r="M31" s="15">
        <f>204.47+66.95</f>
        <v>271.42</v>
      </c>
      <c r="N31" s="15">
        <f t="shared" si="2"/>
        <v>5510.9</v>
      </c>
      <c r="O31" s="15"/>
      <c r="P31" s="15"/>
    </row>
    <row r="32" spans="1:16" ht="30" customHeight="1" x14ac:dyDescent="0.25">
      <c r="A32" s="1">
        <f t="shared" si="0"/>
        <v>18</v>
      </c>
      <c r="B32" s="2">
        <v>184</v>
      </c>
      <c r="C32" s="8" t="s">
        <v>56</v>
      </c>
      <c r="D32" s="8" t="s">
        <v>13</v>
      </c>
      <c r="E32" s="2" t="s">
        <v>32</v>
      </c>
      <c r="F32" s="15">
        <v>4500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f t="shared" si="0"/>
        <v>19</v>
      </c>
      <c r="B33" s="2">
        <v>183</v>
      </c>
      <c r="C33" s="8" t="s">
        <v>69</v>
      </c>
      <c r="D33" s="1" t="s">
        <v>57</v>
      </c>
      <c r="E33" s="2" t="s">
        <v>32</v>
      </c>
      <c r="F33" s="15">
        <v>8960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5" spans="1:16" ht="15" customHeight="1" x14ac:dyDescent="0.25"/>
    <row r="37" spans="1:16" s="6" customFormat="1" ht="0.95" customHeight="1" x14ac:dyDescent="0.25">
      <c r="A37"/>
      <c r="B37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20"/>
    </row>
    <row r="38" spans="1:16" x14ac:dyDescent="0.25">
      <c r="C38" s="7" t="s">
        <v>14</v>
      </c>
      <c r="D38" s="4"/>
      <c r="E38" s="4"/>
      <c r="F38" s="4"/>
      <c r="G38" s="4"/>
      <c r="H38" s="4"/>
      <c r="I38" s="4"/>
      <c r="J38" s="4"/>
      <c r="K38" s="4"/>
      <c r="L38" s="4"/>
      <c r="M38" s="22"/>
      <c r="N38" s="4"/>
      <c r="O38" s="4"/>
    </row>
    <row r="39" spans="1:16" x14ac:dyDescent="0.25">
      <c r="B39" s="5"/>
      <c r="C39" s="7" t="s">
        <v>59</v>
      </c>
      <c r="D39" s="4"/>
      <c r="E39" s="4"/>
      <c r="F39" s="4"/>
      <c r="G39" s="4"/>
      <c r="H39" s="4"/>
      <c r="I39" s="4"/>
      <c r="J39" s="4"/>
      <c r="K39" s="4"/>
      <c r="L39" s="4"/>
      <c r="M39" s="22"/>
      <c r="N39" s="4"/>
      <c r="O39" s="4"/>
    </row>
  </sheetData>
  <mergeCells count="22">
    <mergeCell ref="O13:P13"/>
    <mergeCell ref="I13:I14"/>
    <mergeCell ref="J13:J14"/>
    <mergeCell ref="K13:K14"/>
    <mergeCell ref="L13:L14"/>
    <mergeCell ref="M13:M14"/>
    <mergeCell ref="N13:N14"/>
    <mergeCell ref="A7:H7"/>
    <mergeCell ref="A8:H8"/>
    <mergeCell ref="A13:A14"/>
    <mergeCell ref="B13:B14"/>
    <mergeCell ref="D13:D14"/>
    <mergeCell ref="E13:E14"/>
    <mergeCell ref="F13:F14"/>
    <mergeCell ref="G13:G14"/>
    <mergeCell ref="H13:H14"/>
    <mergeCell ref="A6:H6"/>
    <mergeCell ref="A1:H1"/>
    <mergeCell ref="A2:H2"/>
    <mergeCell ref="A3:H3"/>
    <mergeCell ref="A4:H4"/>
    <mergeCell ref="A5:H5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9E79-8187-4FF6-90FD-C7E5DF17C3D5}">
  <dimension ref="A1:P39"/>
  <sheetViews>
    <sheetView showGridLines="0" zoomScale="85" zoomScaleNormal="85" workbookViewId="0">
      <selection activeCell="A7" sqref="A7:H7"/>
    </sheetView>
  </sheetViews>
  <sheetFormatPr baseColWidth="10" defaultRowHeight="15" x14ac:dyDescent="0.25"/>
  <cols>
    <col min="1" max="1" width="6.710937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5.75" x14ac:dyDescent="0.25">
      <c r="A1" s="29" t="s">
        <v>61</v>
      </c>
      <c r="B1" s="29"/>
      <c r="C1" s="29"/>
      <c r="D1" s="29"/>
      <c r="E1" s="29"/>
      <c r="F1" s="29"/>
      <c r="G1" s="29"/>
      <c r="H1" s="29"/>
    </row>
    <row r="2" spans="1:16" ht="15.75" x14ac:dyDescent="0.25">
      <c r="A2" s="29" t="s">
        <v>62</v>
      </c>
      <c r="B2" s="29"/>
      <c r="C2" s="29"/>
      <c r="D2" s="29"/>
      <c r="E2" s="29"/>
      <c r="F2" s="29"/>
      <c r="G2" s="29"/>
      <c r="H2" s="29"/>
    </row>
    <row r="3" spans="1:16" ht="15.75" customHeight="1" x14ac:dyDescent="0.25">
      <c r="A3" s="30" t="s">
        <v>63</v>
      </c>
      <c r="B3" s="30"/>
      <c r="C3" s="30"/>
      <c r="D3" s="30"/>
      <c r="E3" s="30"/>
      <c r="F3" s="30"/>
      <c r="G3" s="30"/>
      <c r="H3" s="30"/>
    </row>
    <row r="4" spans="1:16" ht="15.75" x14ac:dyDescent="0.25">
      <c r="A4" s="29" t="s">
        <v>64</v>
      </c>
      <c r="B4" s="29"/>
      <c r="C4" s="29"/>
      <c r="D4" s="29"/>
      <c r="E4" s="29"/>
      <c r="F4" s="29"/>
      <c r="G4" s="29"/>
      <c r="H4" s="29"/>
    </row>
    <row r="5" spans="1:16" ht="15.75" x14ac:dyDescent="0.25">
      <c r="A5" s="29" t="s">
        <v>65</v>
      </c>
      <c r="B5" s="29"/>
      <c r="C5" s="29"/>
      <c r="D5" s="29"/>
      <c r="E5" s="29"/>
      <c r="F5" s="29"/>
      <c r="G5" s="29"/>
      <c r="H5" s="29"/>
    </row>
    <row r="6" spans="1:16" ht="15.75" x14ac:dyDescent="0.25">
      <c r="A6" s="29" t="s">
        <v>66</v>
      </c>
      <c r="B6" s="29"/>
      <c r="C6" s="29"/>
      <c r="D6" s="29"/>
      <c r="E6" s="29"/>
      <c r="F6" s="29"/>
      <c r="G6" s="29"/>
      <c r="H6" s="29"/>
    </row>
    <row r="7" spans="1:16" ht="15.75" x14ac:dyDescent="0.25">
      <c r="A7" s="29" t="s">
        <v>81</v>
      </c>
      <c r="B7" s="29"/>
      <c r="C7" s="29"/>
      <c r="D7" s="29"/>
      <c r="E7" s="29"/>
      <c r="F7" s="29"/>
      <c r="G7" s="29"/>
      <c r="H7" s="29"/>
    </row>
    <row r="8" spans="1:16" ht="15.75" x14ac:dyDescent="0.25">
      <c r="A8" s="29" t="s">
        <v>82</v>
      </c>
      <c r="B8" s="29"/>
      <c r="C8" s="29"/>
      <c r="D8" s="29"/>
      <c r="E8" s="29"/>
      <c r="F8" s="29"/>
      <c r="G8" s="29"/>
      <c r="H8" s="29"/>
    </row>
    <row r="9" spans="1:16" ht="18.75" x14ac:dyDescent="0.3">
      <c r="A9" s="10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21"/>
      <c r="N9" s="10"/>
      <c r="O9" s="10"/>
      <c r="P9" s="10"/>
    </row>
    <row r="10" spans="1:16" ht="18.75" x14ac:dyDescent="0.3">
      <c r="A10" s="10" t="s">
        <v>83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21"/>
      <c r="N10" s="10"/>
      <c r="O10" s="10"/>
      <c r="P10" s="10"/>
    </row>
    <row r="11" spans="1:16" ht="15.75" x14ac:dyDescent="0.25">
      <c r="A11" s="17" t="s">
        <v>15</v>
      </c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22"/>
      <c r="N11" s="4"/>
      <c r="O11" s="4"/>
      <c r="P11" s="4"/>
    </row>
    <row r="12" spans="1:16" ht="15" customHeight="1" x14ac:dyDescent="0.25">
      <c r="A12" s="14"/>
      <c r="B12" s="4"/>
      <c r="C12" s="4"/>
      <c r="D12" s="12"/>
      <c r="E12" s="4"/>
      <c r="F12" s="4"/>
      <c r="G12" s="4"/>
      <c r="H12" s="4"/>
      <c r="I12" s="4"/>
      <c r="J12" s="4"/>
      <c r="K12" s="4"/>
      <c r="L12" s="4"/>
      <c r="M12" s="22"/>
    </row>
    <row r="13" spans="1:16" ht="30" customHeight="1" x14ac:dyDescent="0.25">
      <c r="A13" s="25" t="s">
        <v>19</v>
      </c>
      <c r="B13" s="26" t="s">
        <v>20</v>
      </c>
      <c r="C13" s="19" t="s">
        <v>21</v>
      </c>
      <c r="D13" s="31" t="s">
        <v>22</v>
      </c>
      <c r="E13" s="32" t="s">
        <v>23</v>
      </c>
      <c r="F13" s="25" t="s">
        <v>33</v>
      </c>
      <c r="G13" s="25" t="s">
        <v>34</v>
      </c>
      <c r="H13" s="25" t="s">
        <v>36</v>
      </c>
      <c r="I13" s="25" t="s">
        <v>35</v>
      </c>
      <c r="J13" s="25" t="s">
        <v>24</v>
      </c>
      <c r="K13" s="25" t="s">
        <v>25</v>
      </c>
      <c r="L13" s="25" t="s">
        <v>26</v>
      </c>
      <c r="M13" s="25" t="s">
        <v>27</v>
      </c>
      <c r="N13" s="25" t="s">
        <v>28</v>
      </c>
      <c r="O13" s="27" t="s">
        <v>29</v>
      </c>
      <c r="P13" s="28"/>
    </row>
    <row r="14" spans="1:16" ht="48" customHeight="1" x14ac:dyDescent="0.25">
      <c r="A14" s="25"/>
      <c r="B14" s="26"/>
      <c r="C14" s="19" t="s">
        <v>31</v>
      </c>
      <c r="D14" s="31"/>
      <c r="E14" s="33"/>
      <c r="F14" s="25"/>
      <c r="G14" s="25"/>
      <c r="H14" s="25"/>
      <c r="I14" s="26"/>
      <c r="J14" s="25"/>
      <c r="K14" s="26"/>
      <c r="L14" s="26"/>
      <c r="M14" s="26"/>
      <c r="N14" s="26"/>
      <c r="O14" s="18" t="s">
        <v>30</v>
      </c>
      <c r="P14" s="18" t="s">
        <v>37</v>
      </c>
    </row>
    <row r="15" spans="1:16" ht="30" x14ac:dyDescent="0.25">
      <c r="A15" s="1">
        <v>1</v>
      </c>
      <c r="B15" s="16" t="s">
        <v>16</v>
      </c>
      <c r="C15" s="8" t="s">
        <v>49</v>
      </c>
      <c r="D15" s="1" t="s">
        <v>50</v>
      </c>
      <c r="E15" s="2" t="s">
        <v>32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33" si="0">A15+1</f>
        <v>2</v>
      </c>
      <c r="B16" s="16" t="s">
        <v>16</v>
      </c>
      <c r="C16" s="9" t="s">
        <v>51</v>
      </c>
      <c r="D16" s="1" t="s">
        <v>52</v>
      </c>
      <c r="E16" s="2" t="s">
        <v>32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3</v>
      </c>
      <c r="B17" s="16" t="s">
        <v>16</v>
      </c>
      <c r="C17" s="9" t="s">
        <v>53</v>
      </c>
      <c r="D17" s="1" t="s">
        <v>54</v>
      </c>
      <c r="E17" s="2" t="s">
        <v>32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 x14ac:dyDescent="0.25">
      <c r="A18" s="1">
        <f t="shared" si="0"/>
        <v>4</v>
      </c>
      <c r="B18" s="16" t="s">
        <v>16</v>
      </c>
      <c r="C18" s="9" t="s">
        <v>42</v>
      </c>
      <c r="D18" s="1" t="s">
        <v>17</v>
      </c>
      <c r="E18" s="2" t="s">
        <v>32</v>
      </c>
      <c r="F18" s="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 x14ac:dyDescent="0.25">
      <c r="A19" s="1">
        <f t="shared" si="0"/>
        <v>5</v>
      </c>
      <c r="B19" s="16" t="s">
        <v>16</v>
      </c>
      <c r="C19" s="9" t="s">
        <v>43</v>
      </c>
      <c r="D19" s="1" t="s">
        <v>18</v>
      </c>
      <c r="E19" s="2" t="s">
        <v>32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 x14ac:dyDescent="0.25">
      <c r="A20" s="1">
        <f t="shared" si="0"/>
        <v>6</v>
      </c>
      <c r="B20" s="2" t="s">
        <v>7</v>
      </c>
      <c r="C20" s="8" t="s">
        <v>55</v>
      </c>
      <c r="D20" s="1" t="s">
        <v>0</v>
      </c>
      <c r="E20" s="2" t="s">
        <v>32</v>
      </c>
      <c r="F20" s="15">
        <v>8025</v>
      </c>
      <c r="G20" s="15">
        <v>351.12</v>
      </c>
      <c r="H20" s="15">
        <v>5001</v>
      </c>
      <c r="I20" s="15"/>
      <c r="J20" s="15">
        <v>0</v>
      </c>
      <c r="K20" s="15"/>
      <c r="L20" s="15">
        <f>SUM(F20:K20)</f>
        <v>13377.12</v>
      </c>
      <c r="M20" s="15">
        <f>404.57+431.71</f>
        <v>836.28</v>
      </c>
      <c r="N20" s="15">
        <f>+L20-M20</f>
        <v>12540.84</v>
      </c>
      <c r="O20" s="15"/>
      <c r="P20" s="15"/>
    </row>
    <row r="21" spans="1:16" ht="30" customHeight="1" x14ac:dyDescent="0.25">
      <c r="A21" s="1">
        <f t="shared" si="0"/>
        <v>7</v>
      </c>
      <c r="B21" s="2" t="s">
        <v>7</v>
      </c>
      <c r="C21" s="8" t="s">
        <v>6</v>
      </c>
      <c r="D21" s="1" t="s">
        <v>38</v>
      </c>
      <c r="E21" s="2" t="s">
        <v>32</v>
      </c>
      <c r="F21" s="15">
        <f>10966+767.62</f>
        <v>11733.62</v>
      </c>
      <c r="G21" s="23">
        <v>1100.05</v>
      </c>
      <c r="H21" s="23">
        <v>2081.34</v>
      </c>
      <c r="I21" s="15"/>
      <c r="J21" s="15">
        <v>375</v>
      </c>
      <c r="K21" s="15"/>
      <c r="L21" s="15">
        <f t="shared" ref="L21:L31" si="1">SUM(F21:K21)</f>
        <v>15290.01</v>
      </c>
      <c r="M21" s="15">
        <f>619.87+480.32</f>
        <v>1100.19</v>
      </c>
      <c r="N21" s="15">
        <f>+L21-M21</f>
        <v>14189.82</v>
      </c>
      <c r="O21" s="15"/>
      <c r="P21" s="15"/>
    </row>
    <row r="22" spans="1:16" ht="30" customHeight="1" x14ac:dyDescent="0.25">
      <c r="A22" s="1">
        <f t="shared" si="0"/>
        <v>8</v>
      </c>
      <c r="B22" s="2" t="s">
        <v>7</v>
      </c>
      <c r="C22" s="8" t="s">
        <v>75</v>
      </c>
      <c r="D22" s="1" t="s">
        <v>76</v>
      </c>
      <c r="E22" s="2" t="s">
        <v>32</v>
      </c>
      <c r="F22" s="15">
        <v>7750</v>
      </c>
      <c r="G22" s="23">
        <v>605.45000000000005</v>
      </c>
      <c r="H22" s="23">
        <v>834.85</v>
      </c>
      <c r="I22" s="15"/>
      <c r="J22" s="15"/>
      <c r="K22" s="15"/>
      <c r="L22" s="15">
        <f t="shared" si="1"/>
        <v>9190.3000000000011</v>
      </c>
      <c r="M22" s="15">
        <f>403.57+210.52</f>
        <v>614.09</v>
      </c>
      <c r="N22" s="15">
        <f>+L22-M22</f>
        <v>8576.2100000000009</v>
      </c>
      <c r="O22" s="15"/>
      <c r="P22" s="15"/>
    </row>
    <row r="23" spans="1:16" ht="30" customHeight="1" x14ac:dyDescent="0.25">
      <c r="A23" s="1">
        <f t="shared" si="0"/>
        <v>9</v>
      </c>
      <c r="B23" s="2" t="s">
        <v>7</v>
      </c>
      <c r="C23" s="8" t="s">
        <v>58</v>
      </c>
      <c r="D23" s="8" t="s">
        <v>39</v>
      </c>
      <c r="E23" s="2" t="s">
        <v>32</v>
      </c>
      <c r="F23" s="15">
        <v>8025</v>
      </c>
      <c r="G23" s="15">
        <v>426.36</v>
      </c>
      <c r="H23" s="15">
        <v>2514.7800000000002</v>
      </c>
      <c r="I23" s="15"/>
      <c r="J23" s="15"/>
      <c r="K23" s="15"/>
      <c r="L23" s="15">
        <f t="shared" si="1"/>
        <v>10966.140000000001</v>
      </c>
      <c r="M23" s="15">
        <f>408.2+141.65+307.55</f>
        <v>857.40000000000009</v>
      </c>
      <c r="N23" s="15">
        <f t="shared" ref="N23:N31" si="2">+L23-M23</f>
        <v>10108.740000000002</v>
      </c>
      <c r="O23" s="24"/>
      <c r="P23" s="15"/>
    </row>
    <row r="24" spans="1:16" ht="30" customHeight="1" x14ac:dyDescent="0.25">
      <c r="A24" s="1">
        <f t="shared" si="0"/>
        <v>10</v>
      </c>
      <c r="B24" s="2" t="s">
        <v>7</v>
      </c>
      <c r="C24" s="8" t="s">
        <v>9</v>
      </c>
      <c r="D24" s="1" t="s">
        <v>2</v>
      </c>
      <c r="E24" s="2" t="s">
        <v>32</v>
      </c>
      <c r="F24" s="15">
        <f>4243+297</f>
        <v>4540</v>
      </c>
      <c r="G24" s="15">
        <v>184.47</v>
      </c>
      <c r="H24" s="15">
        <v>1793.6</v>
      </c>
      <c r="I24" s="15">
        <f>500</f>
        <v>500</v>
      </c>
      <c r="J24" s="15">
        <v>0</v>
      </c>
      <c r="K24" s="15"/>
      <c r="L24" s="15">
        <f t="shared" si="1"/>
        <v>7018.07</v>
      </c>
      <c r="M24" s="15">
        <f>228.19+91.84+130.66</f>
        <v>450.68999999999994</v>
      </c>
      <c r="N24" s="15">
        <f t="shared" si="2"/>
        <v>6567.38</v>
      </c>
      <c r="O24" s="15"/>
      <c r="P24" s="15"/>
    </row>
    <row r="25" spans="1:16" ht="30" customHeight="1" x14ac:dyDescent="0.25">
      <c r="A25" s="1">
        <f t="shared" si="0"/>
        <v>11</v>
      </c>
      <c r="B25" s="2" t="s">
        <v>7</v>
      </c>
      <c r="C25" s="8" t="s">
        <v>40</v>
      </c>
      <c r="D25" s="1" t="s">
        <v>3</v>
      </c>
      <c r="E25" s="2" t="s">
        <v>32</v>
      </c>
      <c r="F25" s="15">
        <v>4000</v>
      </c>
      <c r="G25" s="15">
        <v>295.81</v>
      </c>
      <c r="H25" s="15">
        <v>1550</v>
      </c>
      <c r="I25" s="15"/>
      <c r="J25" s="15">
        <v>0</v>
      </c>
      <c r="K25" s="15"/>
      <c r="L25" s="15">
        <f t="shared" si="1"/>
        <v>5845.81</v>
      </c>
      <c r="M25" s="15">
        <f>207.49+74.59+67.48</f>
        <v>349.56000000000006</v>
      </c>
      <c r="N25" s="15">
        <f t="shared" si="2"/>
        <v>5496.25</v>
      </c>
      <c r="O25" s="15"/>
      <c r="P25" s="15"/>
    </row>
    <row r="26" spans="1:16" ht="30" customHeight="1" x14ac:dyDescent="0.25">
      <c r="A26" s="1">
        <f t="shared" si="0"/>
        <v>12</v>
      </c>
      <c r="B26" s="2" t="s">
        <v>7</v>
      </c>
      <c r="C26" s="8" t="s">
        <v>41</v>
      </c>
      <c r="D26" s="1" t="s">
        <v>1</v>
      </c>
      <c r="E26" s="2" t="s">
        <v>32</v>
      </c>
      <c r="F26" s="15">
        <v>4000</v>
      </c>
      <c r="G26" s="15">
        <v>125</v>
      </c>
      <c r="H26" s="15">
        <v>1550</v>
      </c>
      <c r="I26" s="15"/>
      <c r="J26" s="15">
        <v>0</v>
      </c>
      <c r="K26" s="15"/>
      <c r="L26" s="15">
        <f t="shared" si="1"/>
        <v>5675</v>
      </c>
      <c r="M26" s="15">
        <f>199.24+67.77</f>
        <v>267.01</v>
      </c>
      <c r="N26" s="15">
        <f t="shared" si="2"/>
        <v>5407.99</v>
      </c>
      <c r="O26" s="15"/>
      <c r="P26" s="15"/>
    </row>
    <row r="27" spans="1:16" ht="30" customHeight="1" x14ac:dyDescent="0.25">
      <c r="A27" s="1">
        <f t="shared" si="0"/>
        <v>13</v>
      </c>
      <c r="B27" s="2" t="s">
        <v>7</v>
      </c>
      <c r="C27" s="8" t="s">
        <v>10</v>
      </c>
      <c r="D27" s="1" t="s">
        <v>48</v>
      </c>
      <c r="E27" s="2" t="s">
        <v>32</v>
      </c>
      <c r="F27" s="15">
        <f>5697+398.79</f>
        <v>6095.79</v>
      </c>
      <c r="G27" s="15">
        <v>476.25</v>
      </c>
      <c r="H27" s="15">
        <v>2115.83</v>
      </c>
      <c r="I27" s="15">
        <f>500</f>
        <v>500</v>
      </c>
      <c r="J27" s="15"/>
      <c r="K27" s="15"/>
      <c r="L27" s="15">
        <f>SUM(F27:K27)</f>
        <v>9187.869999999999</v>
      </c>
      <c r="M27" s="15">
        <f>317.43+219.79</f>
        <v>537.22</v>
      </c>
      <c r="N27" s="15">
        <f t="shared" si="2"/>
        <v>8650.65</v>
      </c>
      <c r="O27" s="15"/>
      <c r="P27" s="15"/>
    </row>
    <row r="28" spans="1:16" ht="30" customHeight="1" x14ac:dyDescent="0.25">
      <c r="A28" s="1">
        <f t="shared" si="0"/>
        <v>14</v>
      </c>
      <c r="B28" s="2" t="s">
        <v>7</v>
      </c>
      <c r="C28" s="8" t="s">
        <v>11</v>
      </c>
      <c r="D28" s="1" t="s">
        <v>4</v>
      </c>
      <c r="E28" s="2" t="s">
        <v>32</v>
      </c>
      <c r="F28" s="15">
        <f>7392+517.44</f>
        <v>7909.4400000000005</v>
      </c>
      <c r="G28" s="15"/>
      <c r="H28" s="15">
        <v>2708.38</v>
      </c>
      <c r="I28" s="15">
        <f>500</f>
        <v>500</v>
      </c>
      <c r="J28" s="15"/>
      <c r="K28" s="15"/>
      <c r="L28" s="15">
        <f t="shared" si="1"/>
        <v>11117.82</v>
      </c>
      <c r="M28" s="15">
        <f>382.03+335.45</f>
        <v>717.48</v>
      </c>
      <c r="N28" s="15">
        <f t="shared" si="2"/>
        <v>10400.34</v>
      </c>
      <c r="O28" s="15"/>
      <c r="P28" s="15"/>
    </row>
    <row r="29" spans="1:16" ht="30" customHeight="1" x14ac:dyDescent="0.25">
      <c r="A29" s="1">
        <f t="shared" si="0"/>
        <v>15</v>
      </c>
      <c r="B29" s="2" t="s">
        <v>7</v>
      </c>
      <c r="C29" s="8" t="s">
        <v>46</v>
      </c>
      <c r="D29" s="1" t="s">
        <v>47</v>
      </c>
      <c r="E29" s="2" t="s">
        <v>32</v>
      </c>
      <c r="F29" s="15">
        <f>6750+472.5</f>
        <v>7222.5</v>
      </c>
      <c r="G29" s="15">
        <v>270.86</v>
      </c>
      <c r="H29" s="15">
        <v>548.9</v>
      </c>
      <c r="I29" s="15"/>
      <c r="J29" s="15"/>
      <c r="K29" s="15"/>
      <c r="L29" s="15">
        <f t="shared" si="1"/>
        <v>8042.2599999999993</v>
      </c>
      <c r="M29" s="15">
        <f>361.93+171.13</f>
        <v>533.05999999999995</v>
      </c>
      <c r="N29" s="15">
        <f t="shared" si="2"/>
        <v>7509.1999999999989</v>
      </c>
      <c r="O29" s="15"/>
      <c r="P29" s="15"/>
    </row>
    <row r="30" spans="1:16" ht="30" customHeight="1" x14ac:dyDescent="0.25">
      <c r="A30" s="1">
        <f t="shared" si="0"/>
        <v>16</v>
      </c>
      <c r="B30" s="2" t="s">
        <v>7</v>
      </c>
      <c r="C30" s="8" t="s">
        <v>12</v>
      </c>
      <c r="D30" s="1" t="s">
        <v>5</v>
      </c>
      <c r="E30" s="2" t="s">
        <v>32</v>
      </c>
      <c r="F30" s="15">
        <v>4000</v>
      </c>
      <c r="G30" s="15">
        <v>329.14</v>
      </c>
      <c r="H30" s="15">
        <v>1550</v>
      </c>
      <c r="I30" s="15"/>
      <c r="J30" s="15"/>
      <c r="K30" s="15"/>
      <c r="L30" s="15">
        <f t="shared" si="1"/>
        <v>5879.14</v>
      </c>
      <c r="M30" s="15">
        <f>209.1+66.95</f>
        <v>276.05</v>
      </c>
      <c r="N30" s="15">
        <f t="shared" si="2"/>
        <v>5603.09</v>
      </c>
      <c r="O30" s="15"/>
      <c r="P30" s="15"/>
    </row>
    <row r="31" spans="1:16" ht="30" customHeight="1" x14ac:dyDescent="0.25">
      <c r="A31" s="1">
        <f t="shared" si="0"/>
        <v>17</v>
      </c>
      <c r="B31" s="2">
        <v>11</v>
      </c>
      <c r="C31" s="8" t="s">
        <v>44</v>
      </c>
      <c r="D31" s="1" t="s">
        <v>45</v>
      </c>
      <c r="E31" s="2" t="s">
        <v>32</v>
      </c>
      <c r="F31" s="15">
        <v>4000</v>
      </c>
      <c r="G31" s="15">
        <v>329.14</v>
      </c>
      <c r="H31" s="15">
        <v>1549</v>
      </c>
      <c r="I31" s="15"/>
      <c r="J31" s="15"/>
      <c r="K31" s="15"/>
      <c r="L31" s="15">
        <f t="shared" si="1"/>
        <v>5878.14</v>
      </c>
      <c r="M31" s="15">
        <f>209.1+66.95</f>
        <v>276.05</v>
      </c>
      <c r="N31" s="15">
        <f t="shared" si="2"/>
        <v>5602.09</v>
      </c>
      <c r="O31" s="15"/>
      <c r="P31" s="15"/>
    </row>
    <row r="32" spans="1:16" ht="30" customHeight="1" x14ac:dyDescent="0.25">
      <c r="A32" s="1">
        <f t="shared" si="0"/>
        <v>18</v>
      </c>
      <c r="B32" s="2">
        <v>184</v>
      </c>
      <c r="C32" s="8" t="s">
        <v>56</v>
      </c>
      <c r="D32" s="8" t="s">
        <v>13</v>
      </c>
      <c r="E32" s="2" t="s">
        <v>32</v>
      </c>
      <c r="F32" s="15">
        <v>4500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f t="shared" si="0"/>
        <v>19</v>
      </c>
      <c r="B33" s="2">
        <v>183</v>
      </c>
      <c r="C33" s="8" t="s">
        <v>69</v>
      </c>
      <c r="D33" s="1" t="s">
        <v>57</v>
      </c>
      <c r="E33" s="2" t="s">
        <v>32</v>
      </c>
      <c r="F33" s="15">
        <v>8960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5" spans="1:16" ht="15" customHeight="1" x14ac:dyDescent="0.25"/>
    <row r="37" spans="1:16" s="6" customFormat="1" ht="0.95" customHeight="1" x14ac:dyDescent="0.25">
      <c r="A37"/>
      <c r="B37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20"/>
    </row>
    <row r="38" spans="1:16" x14ac:dyDescent="0.25">
      <c r="C38" s="7" t="s">
        <v>14</v>
      </c>
      <c r="D38" s="4"/>
      <c r="E38" s="4"/>
      <c r="F38" s="4"/>
      <c r="G38" s="4"/>
      <c r="H38" s="4"/>
      <c r="I38" s="4"/>
      <c r="J38" s="4"/>
      <c r="K38" s="4"/>
      <c r="L38" s="4"/>
      <c r="M38" s="22"/>
      <c r="N38" s="4"/>
      <c r="O38" s="4"/>
    </row>
    <row r="39" spans="1:16" x14ac:dyDescent="0.25">
      <c r="B39" s="5"/>
      <c r="C39" s="7" t="s">
        <v>59</v>
      </c>
      <c r="D39" s="4"/>
      <c r="E39" s="4"/>
      <c r="F39" s="4"/>
      <c r="G39" s="4"/>
      <c r="H39" s="4"/>
      <c r="I39" s="4"/>
      <c r="J39" s="4"/>
      <c r="K39" s="4"/>
      <c r="L39" s="4"/>
      <c r="M39" s="22"/>
      <c r="N39" s="4"/>
      <c r="O39" s="4"/>
    </row>
  </sheetData>
  <mergeCells count="22">
    <mergeCell ref="A6:H6"/>
    <mergeCell ref="A1:H1"/>
    <mergeCell ref="A2:H2"/>
    <mergeCell ref="A3:H3"/>
    <mergeCell ref="A4:H4"/>
    <mergeCell ref="A5:H5"/>
    <mergeCell ref="A7:H7"/>
    <mergeCell ref="A8:H8"/>
    <mergeCell ref="A13:A14"/>
    <mergeCell ref="B13:B14"/>
    <mergeCell ref="D13:D14"/>
    <mergeCell ref="E13:E14"/>
    <mergeCell ref="F13:F14"/>
    <mergeCell ref="G13:G14"/>
    <mergeCell ref="H13:H14"/>
    <mergeCell ref="O13:P13"/>
    <mergeCell ref="I13:I14"/>
    <mergeCell ref="J13:J14"/>
    <mergeCell ref="K13:K14"/>
    <mergeCell ref="L13:L14"/>
    <mergeCell ref="M13:M14"/>
    <mergeCell ref="N13:N14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2E2D-9436-4B8F-B7F1-BCB03496EF66}">
  <dimension ref="A1:P39"/>
  <sheetViews>
    <sheetView showGridLines="0" tabSelected="1" zoomScale="85" zoomScaleNormal="85" workbookViewId="0">
      <pane xSplit="5" ySplit="14" topLeftCell="F15" activePane="bottomRight" state="frozen"/>
      <selection pane="topRight" activeCell="F1" sqref="F1"/>
      <selection pane="bottomLeft" activeCell="A15" sqref="A15"/>
      <selection pane="bottomRight" activeCell="F33" sqref="F33"/>
    </sheetView>
  </sheetViews>
  <sheetFormatPr baseColWidth="10" defaultRowHeight="15" x14ac:dyDescent="0.25"/>
  <cols>
    <col min="1" max="1" width="6.7109375" customWidth="1"/>
    <col min="2" max="2" width="8.7109375" customWidth="1"/>
    <col min="3" max="3" width="25.7109375" customWidth="1"/>
    <col min="4" max="4" width="26.7109375" customWidth="1"/>
    <col min="5" max="5" width="8.7109375" customWidth="1"/>
    <col min="6" max="6" width="12.7109375" customWidth="1"/>
    <col min="7" max="10" width="11.7109375" customWidth="1"/>
    <col min="11" max="11" width="12.28515625" customWidth="1"/>
    <col min="12" max="12" width="12.7109375" customWidth="1"/>
    <col min="13" max="13" width="12.28515625" customWidth="1"/>
    <col min="14" max="16" width="12.7109375" customWidth="1"/>
  </cols>
  <sheetData>
    <row r="1" spans="1:16" ht="15.75" x14ac:dyDescent="0.25">
      <c r="A1" s="29" t="s">
        <v>61</v>
      </c>
      <c r="B1" s="29"/>
      <c r="C1" s="29"/>
      <c r="D1" s="29"/>
      <c r="E1" s="29"/>
      <c r="F1" s="29"/>
      <c r="G1" s="29"/>
      <c r="H1" s="29"/>
    </row>
    <row r="2" spans="1:16" ht="15.75" x14ac:dyDescent="0.25">
      <c r="A2" s="29" t="s">
        <v>62</v>
      </c>
      <c r="B2" s="29"/>
      <c r="C2" s="29"/>
      <c r="D2" s="29"/>
      <c r="E2" s="29"/>
      <c r="F2" s="29"/>
      <c r="G2" s="29"/>
      <c r="H2" s="29"/>
    </row>
    <row r="3" spans="1:16" ht="15.75" customHeight="1" x14ac:dyDescent="0.25">
      <c r="A3" s="30" t="s">
        <v>63</v>
      </c>
      <c r="B3" s="30"/>
      <c r="C3" s="30"/>
      <c r="D3" s="30"/>
      <c r="E3" s="30"/>
      <c r="F3" s="30"/>
      <c r="G3" s="30"/>
      <c r="H3" s="30"/>
    </row>
    <row r="4" spans="1:16" ht="15.75" x14ac:dyDescent="0.25">
      <c r="A4" s="29" t="s">
        <v>64</v>
      </c>
      <c r="B4" s="29"/>
      <c r="C4" s="29"/>
      <c r="D4" s="29"/>
      <c r="E4" s="29"/>
      <c r="F4" s="29"/>
      <c r="G4" s="29"/>
      <c r="H4" s="29"/>
    </row>
    <row r="5" spans="1:16" ht="15.75" x14ac:dyDescent="0.25">
      <c r="A5" s="29" t="s">
        <v>65</v>
      </c>
      <c r="B5" s="29"/>
      <c r="C5" s="29"/>
      <c r="D5" s="29"/>
      <c r="E5" s="29"/>
      <c r="F5" s="29"/>
      <c r="G5" s="29"/>
      <c r="H5" s="29"/>
    </row>
    <row r="6" spans="1:16" ht="15.75" x14ac:dyDescent="0.25">
      <c r="A6" s="29" t="s">
        <v>66</v>
      </c>
      <c r="B6" s="29"/>
      <c r="C6" s="29"/>
      <c r="D6" s="29"/>
      <c r="E6" s="29"/>
      <c r="F6" s="29"/>
      <c r="G6" s="29"/>
      <c r="H6" s="29"/>
    </row>
    <row r="7" spans="1:16" ht="15.75" x14ac:dyDescent="0.25">
      <c r="A7" s="29" t="s">
        <v>84</v>
      </c>
      <c r="B7" s="29"/>
      <c r="C7" s="29"/>
      <c r="D7" s="29"/>
      <c r="E7" s="29"/>
      <c r="F7" s="29"/>
      <c r="G7" s="29"/>
      <c r="H7" s="29"/>
    </row>
    <row r="8" spans="1:16" ht="15.75" x14ac:dyDescent="0.25">
      <c r="A8" s="29" t="s">
        <v>85</v>
      </c>
      <c r="B8" s="29"/>
      <c r="C8" s="29"/>
      <c r="D8" s="29"/>
      <c r="E8" s="29"/>
      <c r="F8" s="29"/>
      <c r="G8" s="29"/>
      <c r="H8" s="29"/>
    </row>
    <row r="9" spans="1:16" ht="18.75" x14ac:dyDescent="0.3">
      <c r="A9" s="10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21"/>
      <c r="N9" s="10"/>
      <c r="O9" s="10"/>
      <c r="P9" s="10"/>
    </row>
    <row r="10" spans="1:16" ht="18.75" x14ac:dyDescent="0.3">
      <c r="A10" s="10" t="s">
        <v>86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21"/>
      <c r="N10" s="10"/>
      <c r="O10" s="10"/>
      <c r="P10" s="10"/>
    </row>
    <row r="11" spans="1:16" ht="15.75" x14ac:dyDescent="0.25">
      <c r="A11" s="17" t="s">
        <v>15</v>
      </c>
      <c r="B11" s="4"/>
      <c r="C11" s="4"/>
      <c r="D11" s="4"/>
      <c r="E11" s="4"/>
      <c r="F11" s="4"/>
      <c r="G11" s="12"/>
      <c r="H11" s="4"/>
      <c r="I11" s="4"/>
      <c r="J11" s="4"/>
      <c r="K11" s="4"/>
      <c r="L11" s="4"/>
      <c r="M11" s="22"/>
      <c r="N11" s="4"/>
      <c r="O11" s="4"/>
      <c r="P11" s="4"/>
    </row>
    <row r="12" spans="1:16" ht="15" customHeight="1" x14ac:dyDescent="0.25">
      <c r="A12" s="14"/>
      <c r="B12" s="4"/>
      <c r="C12" s="4"/>
      <c r="D12" s="12"/>
      <c r="E12" s="4"/>
      <c r="F12" s="4"/>
      <c r="G12" s="4"/>
      <c r="H12" s="4"/>
      <c r="I12" s="4"/>
      <c r="J12" s="4"/>
      <c r="K12" s="4"/>
      <c r="L12" s="4"/>
      <c r="M12" s="22"/>
    </row>
    <row r="13" spans="1:16" ht="30" customHeight="1" x14ac:dyDescent="0.25">
      <c r="A13" s="25" t="s">
        <v>19</v>
      </c>
      <c r="B13" s="26" t="s">
        <v>20</v>
      </c>
      <c r="C13" s="19" t="s">
        <v>21</v>
      </c>
      <c r="D13" s="31" t="s">
        <v>22</v>
      </c>
      <c r="E13" s="32" t="s">
        <v>23</v>
      </c>
      <c r="F13" s="25" t="s">
        <v>33</v>
      </c>
      <c r="G13" s="25" t="s">
        <v>34</v>
      </c>
      <c r="H13" s="25" t="s">
        <v>36</v>
      </c>
      <c r="I13" s="25" t="s">
        <v>35</v>
      </c>
      <c r="J13" s="25" t="s">
        <v>24</v>
      </c>
      <c r="K13" s="25" t="s">
        <v>25</v>
      </c>
      <c r="L13" s="25" t="s">
        <v>26</v>
      </c>
      <c r="M13" s="25" t="s">
        <v>27</v>
      </c>
      <c r="N13" s="25" t="s">
        <v>28</v>
      </c>
      <c r="O13" s="27" t="s">
        <v>29</v>
      </c>
      <c r="P13" s="28"/>
    </row>
    <row r="14" spans="1:16" ht="48" customHeight="1" x14ac:dyDescent="0.25">
      <c r="A14" s="25"/>
      <c r="B14" s="26"/>
      <c r="C14" s="19" t="s">
        <v>31</v>
      </c>
      <c r="D14" s="31"/>
      <c r="E14" s="33"/>
      <c r="F14" s="25"/>
      <c r="G14" s="25"/>
      <c r="H14" s="25"/>
      <c r="I14" s="26"/>
      <c r="J14" s="25"/>
      <c r="K14" s="26"/>
      <c r="L14" s="26"/>
      <c r="M14" s="26"/>
      <c r="N14" s="26"/>
      <c r="O14" s="18" t="s">
        <v>30</v>
      </c>
      <c r="P14" s="18" t="s">
        <v>37</v>
      </c>
    </row>
    <row r="15" spans="1:16" ht="30" x14ac:dyDescent="0.25">
      <c r="A15" s="1">
        <v>1</v>
      </c>
      <c r="B15" s="16" t="s">
        <v>16</v>
      </c>
      <c r="C15" s="8" t="s">
        <v>49</v>
      </c>
      <c r="D15" s="1" t="s">
        <v>50</v>
      </c>
      <c r="E15" s="2" t="s">
        <v>32</v>
      </c>
      <c r="F15" s="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0" customHeight="1" x14ac:dyDescent="0.25">
      <c r="A16" s="1">
        <f t="shared" ref="A16:A33" si="0">A15+1</f>
        <v>2</v>
      </c>
      <c r="B16" s="16" t="s">
        <v>16</v>
      </c>
      <c r="C16" s="9" t="s">
        <v>51</v>
      </c>
      <c r="D16" s="1" t="s">
        <v>52</v>
      </c>
      <c r="E16" s="2" t="s">
        <v>32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0" customHeight="1" x14ac:dyDescent="0.25">
      <c r="A17" s="1">
        <f t="shared" si="0"/>
        <v>3</v>
      </c>
      <c r="B17" s="16" t="s">
        <v>16</v>
      </c>
      <c r="C17" s="9" t="s">
        <v>53</v>
      </c>
      <c r="D17" s="1" t="s">
        <v>54</v>
      </c>
      <c r="E17" s="2" t="s">
        <v>32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0" customHeight="1" x14ac:dyDescent="0.25">
      <c r="A18" s="1">
        <f t="shared" si="0"/>
        <v>4</v>
      </c>
      <c r="B18" s="16" t="s">
        <v>16</v>
      </c>
      <c r="C18" s="9" t="s">
        <v>42</v>
      </c>
      <c r="D18" s="1" t="s">
        <v>17</v>
      </c>
      <c r="E18" s="2" t="s">
        <v>32</v>
      </c>
      <c r="F18" s="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0" customHeight="1" x14ac:dyDescent="0.25">
      <c r="A19" s="1">
        <f t="shared" si="0"/>
        <v>5</v>
      </c>
      <c r="B19" s="16" t="s">
        <v>16</v>
      </c>
      <c r="C19" s="9" t="s">
        <v>43</v>
      </c>
      <c r="D19" s="1" t="s">
        <v>18</v>
      </c>
      <c r="E19" s="2" t="s">
        <v>32</v>
      </c>
      <c r="F19" s="15">
        <v>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" customHeight="1" x14ac:dyDescent="0.25">
      <c r="A20" s="1">
        <f t="shared" si="0"/>
        <v>6</v>
      </c>
      <c r="B20" s="2" t="s">
        <v>7</v>
      </c>
      <c r="C20" s="8" t="s">
        <v>55</v>
      </c>
      <c r="D20" s="1" t="s">
        <v>0</v>
      </c>
      <c r="E20" s="2" t="s">
        <v>32</v>
      </c>
      <c r="F20" s="15">
        <v>8025</v>
      </c>
      <c r="G20" s="15">
        <v>125.4</v>
      </c>
      <c r="H20" s="15">
        <v>5001</v>
      </c>
      <c r="I20" s="15"/>
      <c r="J20" s="15">
        <v>0</v>
      </c>
      <c r="K20" s="15"/>
      <c r="L20" s="15">
        <f>SUM(F20:K20)</f>
        <v>13151.4</v>
      </c>
      <c r="M20" s="15">
        <f>393.66+431.71</f>
        <v>825.37</v>
      </c>
      <c r="N20" s="15">
        <f>+L20-M20</f>
        <v>12326.029999999999</v>
      </c>
      <c r="O20" s="15"/>
      <c r="P20" s="15"/>
    </row>
    <row r="21" spans="1:16" ht="30" customHeight="1" x14ac:dyDescent="0.25">
      <c r="A21" s="1">
        <f t="shared" si="0"/>
        <v>7</v>
      </c>
      <c r="B21" s="2" t="s">
        <v>7</v>
      </c>
      <c r="C21" s="8" t="s">
        <v>6</v>
      </c>
      <c r="D21" s="1" t="s">
        <v>38</v>
      </c>
      <c r="E21" s="2" t="s">
        <v>32</v>
      </c>
      <c r="F21" s="15">
        <f>10966+767.62</f>
        <v>11733.62</v>
      </c>
      <c r="G21" s="23">
        <v>745.59</v>
      </c>
      <c r="H21" s="23">
        <v>2081.34</v>
      </c>
      <c r="I21" s="15"/>
      <c r="J21" s="15">
        <v>375</v>
      </c>
      <c r="K21" s="15"/>
      <c r="L21" s="15">
        <f t="shared" ref="L21:L31" si="1">SUM(F21:K21)</f>
        <v>14935.550000000001</v>
      </c>
      <c r="M21" s="15">
        <f>602.75+480.32</f>
        <v>1083.07</v>
      </c>
      <c r="N21" s="15">
        <f>+L21-M21</f>
        <v>13852.480000000001</v>
      </c>
      <c r="O21" s="15"/>
      <c r="P21" s="15"/>
    </row>
    <row r="22" spans="1:16" ht="30" customHeight="1" x14ac:dyDescent="0.25">
      <c r="A22" s="1">
        <f t="shared" si="0"/>
        <v>8</v>
      </c>
      <c r="B22" s="2" t="s">
        <v>7</v>
      </c>
      <c r="C22" s="8" t="s">
        <v>75</v>
      </c>
      <c r="D22" s="1" t="s">
        <v>76</v>
      </c>
      <c r="E22" s="2" t="s">
        <v>32</v>
      </c>
      <c r="F22" s="15">
        <v>7750</v>
      </c>
      <c r="G22" s="23">
        <v>403.63</v>
      </c>
      <c r="H22" s="23">
        <v>834.85</v>
      </c>
      <c r="I22" s="15"/>
      <c r="J22" s="15"/>
      <c r="K22" s="15"/>
      <c r="L22" s="15">
        <f t="shared" si="1"/>
        <v>8988.48</v>
      </c>
      <c r="M22" s="15">
        <f>393.82+210.52</f>
        <v>604.34</v>
      </c>
      <c r="N22" s="15">
        <f>+L22-M22</f>
        <v>8384.14</v>
      </c>
      <c r="O22" s="15"/>
      <c r="P22" s="15"/>
    </row>
    <row r="23" spans="1:16" ht="30" customHeight="1" x14ac:dyDescent="0.25">
      <c r="A23" s="1">
        <f t="shared" si="0"/>
        <v>9</v>
      </c>
      <c r="B23" s="2" t="s">
        <v>7</v>
      </c>
      <c r="C23" s="8" t="s">
        <v>58</v>
      </c>
      <c r="D23" s="8" t="s">
        <v>39</v>
      </c>
      <c r="E23" s="2" t="s">
        <v>32</v>
      </c>
      <c r="F23" s="15">
        <v>8025</v>
      </c>
      <c r="G23" s="15">
        <v>75.239999999999995</v>
      </c>
      <c r="H23" s="15">
        <v>2514.7800000000002</v>
      </c>
      <c r="I23" s="15"/>
      <c r="J23" s="15"/>
      <c r="K23" s="15"/>
      <c r="L23" s="15">
        <f t="shared" si="1"/>
        <v>10615.02</v>
      </c>
      <c r="M23" s="15">
        <f>391.24+141.65+307.55</f>
        <v>840.44</v>
      </c>
      <c r="N23" s="15">
        <f t="shared" ref="N23:N31" si="2">+L23-M23</f>
        <v>9774.58</v>
      </c>
      <c r="O23" s="24"/>
      <c r="P23" s="15"/>
    </row>
    <row r="24" spans="1:16" ht="30" customHeight="1" x14ac:dyDescent="0.25">
      <c r="A24" s="1">
        <f t="shared" si="0"/>
        <v>10</v>
      </c>
      <c r="B24" s="2" t="s">
        <v>7</v>
      </c>
      <c r="C24" s="8" t="s">
        <v>9</v>
      </c>
      <c r="D24" s="1" t="s">
        <v>2</v>
      </c>
      <c r="E24" s="2" t="s">
        <v>32</v>
      </c>
      <c r="F24" s="15">
        <f>4243+297</f>
        <v>4540</v>
      </c>
      <c r="G24" s="15">
        <v>297.99</v>
      </c>
      <c r="H24" s="15">
        <v>1793.6</v>
      </c>
      <c r="I24" s="15">
        <f>500</f>
        <v>500</v>
      </c>
      <c r="J24" s="15">
        <v>0</v>
      </c>
      <c r="K24" s="15"/>
      <c r="L24" s="15">
        <f t="shared" si="1"/>
        <v>7131.59</v>
      </c>
      <c r="M24" s="15">
        <f>233.67+91.84+130.66</f>
        <v>456.16999999999996</v>
      </c>
      <c r="N24" s="15">
        <f t="shared" si="2"/>
        <v>6675.42</v>
      </c>
      <c r="O24" s="15"/>
      <c r="P24" s="15"/>
    </row>
    <row r="25" spans="1:16" ht="30" customHeight="1" x14ac:dyDescent="0.25">
      <c r="A25" s="1">
        <f t="shared" si="0"/>
        <v>11</v>
      </c>
      <c r="B25" s="2" t="s">
        <v>7</v>
      </c>
      <c r="C25" s="8" t="s">
        <v>40</v>
      </c>
      <c r="D25" s="1" t="s">
        <v>3</v>
      </c>
      <c r="E25" s="2" t="s">
        <v>32</v>
      </c>
      <c r="F25" s="15">
        <v>4000</v>
      </c>
      <c r="G25" s="15">
        <v>183.32</v>
      </c>
      <c r="H25" s="15">
        <v>1550</v>
      </c>
      <c r="I25" s="15"/>
      <c r="J25" s="15">
        <v>0</v>
      </c>
      <c r="K25" s="15"/>
      <c r="L25" s="15">
        <f t="shared" si="1"/>
        <v>5733.32</v>
      </c>
      <c r="M25" s="15">
        <f>202.05+74.59+67.47</f>
        <v>344.11</v>
      </c>
      <c r="N25" s="15">
        <f t="shared" si="2"/>
        <v>5389.21</v>
      </c>
      <c r="O25" s="15"/>
      <c r="P25" s="15"/>
    </row>
    <row r="26" spans="1:16" ht="30" customHeight="1" x14ac:dyDescent="0.25">
      <c r="A26" s="1">
        <f t="shared" si="0"/>
        <v>12</v>
      </c>
      <c r="B26" s="2" t="s">
        <v>7</v>
      </c>
      <c r="C26" s="8" t="s">
        <v>41</v>
      </c>
      <c r="D26" s="1" t="s">
        <v>1</v>
      </c>
      <c r="E26" s="2" t="s">
        <v>32</v>
      </c>
      <c r="F26" s="15">
        <v>4000</v>
      </c>
      <c r="G26" s="15">
        <v>12.5</v>
      </c>
      <c r="H26" s="15">
        <v>1550</v>
      </c>
      <c r="I26" s="15"/>
      <c r="J26" s="15">
        <v>0</v>
      </c>
      <c r="K26" s="15"/>
      <c r="L26" s="15">
        <f t="shared" si="1"/>
        <v>5562.5</v>
      </c>
      <c r="M26" s="15">
        <f>193.8+67.77</f>
        <v>261.57</v>
      </c>
      <c r="N26" s="15">
        <f t="shared" si="2"/>
        <v>5300.93</v>
      </c>
      <c r="O26" s="15"/>
      <c r="P26" s="15"/>
    </row>
    <row r="27" spans="1:16" ht="30" customHeight="1" x14ac:dyDescent="0.25">
      <c r="A27" s="1">
        <f t="shared" si="0"/>
        <v>13</v>
      </c>
      <c r="B27" s="2" t="s">
        <v>7</v>
      </c>
      <c r="C27" s="8" t="s">
        <v>10</v>
      </c>
      <c r="D27" s="1" t="s">
        <v>48</v>
      </c>
      <c r="E27" s="2" t="s">
        <v>32</v>
      </c>
      <c r="F27" s="15">
        <f>5697+398.79</f>
        <v>6095.79</v>
      </c>
      <c r="G27" s="15">
        <v>431.8</v>
      </c>
      <c r="H27" s="15">
        <v>2115.83</v>
      </c>
      <c r="I27" s="15">
        <f>500</f>
        <v>500</v>
      </c>
      <c r="J27" s="15"/>
      <c r="K27" s="15"/>
      <c r="L27" s="15">
        <f>SUM(F27:K27)</f>
        <v>9143.42</v>
      </c>
      <c r="M27" s="15">
        <f>315.28+219.79</f>
        <v>535.06999999999994</v>
      </c>
      <c r="N27" s="15">
        <f t="shared" si="2"/>
        <v>8608.35</v>
      </c>
      <c r="O27" s="15"/>
      <c r="P27" s="15"/>
    </row>
    <row r="28" spans="1:16" ht="30" customHeight="1" x14ac:dyDescent="0.25">
      <c r="A28" s="1">
        <f t="shared" si="0"/>
        <v>14</v>
      </c>
      <c r="B28" s="2" t="s">
        <v>7</v>
      </c>
      <c r="C28" s="8" t="s">
        <v>11</v>
      </c>
      <c r="D28" s="1" t="s">
        <v>4</v>
      </c>
      <c r="E28" s="2" t="s">
        <v>32</v>
      </c>
      <c r="F28" s="15">
        <v>2109.1799999999998</v>
      </c>
      <c r="G28" s="15"/>
      <c r="H28" s="15">
        <v>855.56</v>
      </c>
      <c r="I28" s="15"/>
      <c r="J28" s="15"/>
      <c r="K28" s="15"/>
      <c r="L28" s="15">
        <f t="shared" si="1"/>
        <v>2964.74</v>
      </c>
      <c r="M28" s="15">
        <f>101.87+335.45</f>
        <v>437.32</v>
      </c>
      <c r="N28" s="15">
        <f t="shared" si="2"/>
        <v>2527.4199999999996</v>
      </c>
      <c r="O28" s="15"/>
      <c r="P28" s="15"/>
    </row>
    <row r="29" spans="1:16" ht="30" customHeight="1" x14ac:dyDescent="0.25">
      <c r="A29" s="1">
        <f t="shared" si="0"/>
        <v>15</v>
      </c>
      <c r="B29" s="2" t="s">
        <v>7</v>
      </c>
      <c r="C29" s="8" t="s">
        <v>46</v>
      </c>
      <c r="D29" s="1" t="s">
        <v>47</v>
      </c>
      <c r="E29" s="2" t="s">
        <v>32</v>
      </c>
      <c r="F29" s="15">
        <f>6750+472.5</f>
        <v>7222.5</v>
      </c>
      <c r="G29" s="15"/>
      <c r="H29" s="15">
        <v>548.9</v>
      </c>
      <c r="I29" s="15"/>
      <c r="J29" s="15"/>
      <c r="K29" s="15"/>
      <c r="L29" s="15">
        <f t="shared" si="1"/>
        <v>7771.4</v>
      </c>
      <c r="M29" s="15">
        <f>348.85+171.13</f>
        <v>519.98</v>
      </c>
      <c r="N29" s="15">
        <f t="shared" si="2"/>
        <v>7251.42</v>
      </c>
      <c r="O29" s="15"/>
      <c r="P29" s="15"/>
    </row>
    <row r="30" spans="1:16" ht="30" customHeight="1" x14ac:dyDescent="0.25">
      <c r="A30" s="1">
        <f t="shared" si="0"/>
        <v>16</v>
      </c>
      <c r="B30" s="2" t="s">
        <v>7</v>
      </c>
      <c r="C30" s="8" t="s">
        <v>12</v>
      </c>
      <c r="D30" s="1" t="s">
        <v>5</v>
      </c>
      <c r="E30" s="2" t="s">
        <v>32</v>
      </c>
      <c r="F30" s="15">
        <v>4000</v>
      </c>
      <c r="G30" s="15">
        <v>199.98</v>
      </c>
      <c r="H30" s="15">
        <v>1550</v>
      </c>
      <c r="I30" s="15"/>
      <c r="J30" s="15"/>
      <c r="K30" s="15"/>
      <c r="L30" s="15">
        <f t="shared" si="1"/>
        <v>5749.98</v>
      </c>
      <c r="M30" s="15">
        <f>202.86+66.95</f>
        <v>269.81</v>
      </c>
      <c r="N30" s="15">
        <f t="shared" si="2"/>
        <v>5480.1699999999992</v>
      </c>
      <c r="O30" s="15"/>
      <c r="P30" s="15"/>
    </row>
    <row r="31" spans="1:16" ht="30" customHeight="1" x14ac:dyDescent="0.25">
      <c r="A31" s="1">
        <f t="shared" si="0"/>
        <v>17</v>
      </c>
      <c r="B31" s="2">
        <v>11</v>
      </c>
      <c r="C31" s="8" t="s">
        <v>44</v>
      </c>
      <c r="D31" s="1" t="s">
        <v>45</v>
      </c>
      <c r="E31" s="2" t="s">
        <v>32</v>
      </c>
      <c r="F31" s="15">
        <v>4000</v>
      </c>
      <c r="G31" s="15">
        <v>299.98</v>
      </c>
      <c r="H31" s="15">
        <v>1549</v>
      </c>
      <c r="I31" s="15"/>
      <c r="J31" s="15"/>
      <c r="K31" s="15"/>
      <c r="L31" s="15">
        <f t="shared" si="1"/>
        <v>5848.98</v>
      </c>
      <c r="M31" s="15">
        <f>207.69+66.95</f>
        <v>274.64</v>
      </c>
      <c r="N31" s="15">
        <f t="shared" si="2"/>
        <v>5574.3399999999992</v>
      </c>
      <c r="O31" s="15"/>
      <c r="P31" s="15"/>
    </row>
    <row r="32" spans="1:16" ht="30" customHeight="1" x14ac:dyDescent="0.25">
      <c r="A32" s="1">
        <f t="shared" si="0"/>
        <v>18</v>
      </c>
      <c r="B32" s="2">
        <v>184</v>
      </c>
      <c r="C32" s="8" t="s">
        <v>56</v>
      </c>
      <c r="D32" s="8" t="s">
        <v>13</v>
      </c>
      <c r="E32" s="2" t="s">
        <v>32</v>
      </c>
      <c r="F32" s="15">
        <v>4500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0" customHeight="1" x14ac:dyDescent="0.25">
      <c r="A33" s="1">
        <f t="shared" si="0"/>
        <v>19</v>
      </c>
      <c r="B33" s="2">
        <v>183</v>
      </c>
      <c r="C33" s="8" t="s">
        <v>69</v>
      </c>
      <c r="D33" s="1" t="s">
        <v>57</v>
      </c>
      <c r="E33" s="2" t="s">
        <v>32</v>
      </c>
      <c r="F33" s="15">
        <v>8960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5" spans="1:16" ht="15" customHeight="1" x14ac:dyDescent="0.25"/>
    <row r="37" spans="1:16" s="6" customFormat="1" ht="0.95" customHeight="1" x14ac:dyDescent="0.25">
      <c r="A37"/>
      <c r="B37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20"/>
    </row>
    <row r="38" spans="1:16" x14ac:dyDescent="0.25">
      <c r="C38" s="7" t="s">
        <v>14</v>
      </c>
      <c r="D38" s="4"/>
      <c r="E38" s="4"/>
      <c r="F38" s="4"/>
      <c r="G38" s="4"/>
      <c r="H38" s="4"/>
      <c r="I38" s="4"/>
      <c r="J38" s="4"/>
      <c r="K38" s="4"/>
      <c r="L38" s="4"/>
      <c r="M38" s="22"/>
      <c r="N38" s="4"/>
      <c r="O38" s="4"/>
    </row>
    <row r="39" spans="1:16" x14ac:dyDescent="0.25">
      <c r="B39" s="5"/>
      <c r="C39" s="7" t="s">
        <v>59</v>
      </c>
      <c r="D39" s="4"/>
      <c r="E39" s="4"/>
      <c r="F39" s="4"/>
      <c r="G39" s="4"/>
      <c r="H39" s="4"/>
      <c r="I39" s="4"/>
      <c r="J39" s="4"/>
      <c r="K39" s="4"/>
      <c r="L39" s="4"/>
      <c r="M39" s="22"/>
      <c r="N39" s="4"/>
      <c r="O39" s="4"/>
    </row>
  </sheetData>
  <mergeCells count="22">
    <mergeCell ref="O13:P13"/>
    <mergeCell ref="I13:I14"/>
    <mergeCell ref="J13:J14"/>
    <mergeCell ref="K13:K14"/>
    <mergeCell ref="L13:L14"/>
    <mergeCell ref="M13:M14"/>
    <mergeCell ref="N13:N14"/>
    <mergeCell ref="A7:H7"/>
    <mergeCell ref="A8:H8"/>
    <mergeCell ref="A13:A14"/>
    <mergeCell ref="B13:B14"/>
    <mergeCell ref="D13:D14"/>
    <mergeCell ref="E13:E14"/>
    <mergeCell ref="F13:F14"/>
    <mergeCell ref="G13:G14"/>
    <mergeCell ref="H13:H14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19685039370078741" header="0.19685039370078741" footer="0.19685039370078741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 2025</vt:lpstr>
      <vt:lpstr>FEBRERO 2025</vt:lpstr>
      <vt:lpstr>MARZO 2025</vt:lpstr>
      <vt:lpstr>ABRIL 2025</vt:lpstr>
      <vt:lpstr>MAYO 2025</vt:lpstr>
      <vt:lpstr>JUNIO 2025</vt:lpstr>
      <vt:lpstr>'ABRIL 2025'!Área_de_impresión</vt:lpstr>
      <vt:lpstr>'ENERO 2025'!Área_de_impresión</vt:lpstr>
      <vt:lpstr>'FEBRERO 2025'!Área_de_impresión</vt:lpstr>
      <vt:lpstr>'JUNIO 2025'!Área_de_impresión</vt:lpstr>
      <vt:lpstr>'MARZO 2025'!Área_de_impresión</vt:lpstr>
      <vt:lpstr>'MAYO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Coordinador Financiero</cp:lastModifiedBy>
  <cp:lastPrinted>2025-08-04T21:43:03Z</cp:lastPrinted>
  <dcterms:created xsi:type="dcterms:W3CDTF">2017-02-15T21:48:50Z</dcterms:created>
  <dcterms:modified xsi:type="dcterms:W3CDTF">2025-08-04T21:43:27Z</dcterms:modified>
</cp:coreProperties>
</file>